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6" windowWidth="19680" windowHeight="7560" activeTab="0"/>
  </bookViews>
  <sheets>
    <sheet name="Inputs" sheetId="1" r:id="rId1"/>
    <sheet name="Contribution schedule" sheetId="2" r:id="rId2"/>
  </sheets>
  <definedNames/>
  <calcPr fullCalcOnLoad="1"/>
</workbook>
</file>

<file path=xl/sharedStrings.xml><?xml version="1.0" encoding="utf-8"?>
<sst xmlns="http://schemas.openxmlformats.org/spreadsheetml/2006/main" count="52" uniqueCount="46">
  <si>
    <t>Simple EPF Corpus Calculator -freefincal.com</t>
  </si>
  <si>
    <t>Current rate of interest</t>
  </si>
  <si>
    <t>Employee contribution to EPF</t>
  </si>
  <si>
    <t>Employer contribution to EPF</t>
  </si>
  <si>
    <t>Current basic pay</t>
  </si>
  <si>
    <t>Method 1</t>
  </si>
  <si>
    <t>Method 2</t>
  </si>
  <si>
    <t>Method 3</t>
  </si>
  <si>
    <r>
      <rPr>
        <b/>
        <sz val="10"/>
        <rFont val="Arial"/>
        <family val="2"/>
      </rPr>
      <t>Employee:</t>
    </r>
    <r>
      <rPr>
        <sz val="10"/>
        <rFont val="Arial"/>
        <family val="2"/>
      </rPr>
      <t xml:space="preserve"> Basic x 12%   </t>
    </r>
    <r>
      <rPr>
        <b/>
        <sz val="10"/>
        <rFont val="Arial"/>
        <family val="2"/>
      </rPr>
      <t>Employer:</t>
    </r>
    <r>
      <rPr>
        <sz val="10"/>
        <rFont val="Arial"/>
        <family val="2"/>
      </rPr>
      <t>Basic x 12% - (15000 x 8.33%)</t>
    </r>
  </si>
  <si>
    <r>
      <rPr>
        <b/>
        <sz val="10"/>
        <rFont val="Arial"/>
        <family val="2"/>
      </rPr>
      <t>Employee:</t>
    </r>
    <r>
      <rPr>
        <sz val="10"/>
        <rFont val="Arial"/>
        <family val="2"/>
      </rPr>
      <t xml:space="preserve"> Basic x 12%   </t>
    </r>
    <r>
      <rPr>
        <b/>
        <sz val="10"/>
        <rFont val="Arial"/>
        <family val="2"/>
      </rPr>
      <t>Employer:</t>
    </r>
    <r>
      <rPr>
        <sz val="10"/>
        <rFont val="Arial"/>
        <family val="2"/>
      </rPr>
      <t>15000 x 3.67%</t>
    </r>
  </si>
  <si>
    <r>
      <rPr>
        <b/>
        <sz val="10"/>
        <rFont val="Arial"/>
        <family val="2"/>
      </rPr>
      <t>Employee:</t>
    </r>
    <r>
      <rPr>
        <sz val="10"/>
        <rFont val="Arial"/>
        <family val="2"/>
      </rPr>
      <t xml:space="preserve"> 15000  x 12%   </t>
    </r>
    <r>
      <rPr>
        <b/>
        <sz val="10"/>
        <rFont val="Arial"/>
        <family val="2"/>
      </rPr>
      <t>Employer:</t>
    </r>
    <r>
      <rPr>
        <sz val="10"/>
        <rFont val="Arial"/>
        <family val="2"/>
      </rPr>
      <t>15000 x 3.67%</t>
    </r>
  </si>
  <si>
    <t>EPF expenses each month</t>
  </si>
  <si>
    <t>Year</t>
  </si>
  <si>
    <t>Basic Pay</t>
  </si>
  <si>
    <t>Current EPS Balance</t>
  </si>
  <si>
    <t>Expected EPF Corpus with same rate of interest</t>
  </si>
  <si>
    <t xml:space="preserve">Expected EPS Corpus </t>
  </si>
  <si>
    <t>There are 3 methods of computing contributions if salary is above threshold limit*</t>
  </si>
  <si>
    <t>*Source:  http://www.bemoneyaware.com/blog/epf/</t>
  </si>
  <si>
    <t>Monthly Contribution</t>
  </si>
  <si>
    <t>Employee</t>
  </si>
  <si>
    <t xml:space="preserve">Employer </t>
  </si>
  <si>
    <t>Total</t>
  </si>
  <si>
    <t>opening</t>
  </si>
  <si>
    <t>closing</t>
  </si>
  <si>
    <t>EPS balance</t>
  </si>
  <si>
    <t xml:space="preserve">EPS  </t>
  </si>
  <si>
    <t>monthly contribution</t>
  </si>
  <si>
    <t xml:space="preserve">EPF </t>
  </si>
  <si>
    <t>annual expenses</t>
  </si>
  <si>
    <t>Total monthly contribution to EPF in first year</t>
  </si>
  <si>
    <t>Rate at which basic pay increases</t>
  </si>
  <si>
    <t>Choose method which matches with your pay slip</t>
  </si>
  <si>
    <t>Threshold for mandatory EPF contribution. Old limit: 6500; New limit 15,000</t>
  </si>
  <si>
    <t>Current Age</t>
  </si>
  <si>
    <t>Withdrawal Limit</t>
  </si>
  <si>
    <t>closing balance</t>
  </si>
  <si>
    <t xml:space="preserve">Age at </t>
  </si>
  <si>
    <r>
      <rPr>
        <b/>
        <sz val="10"/>
        <rFont val="Arial"/>
        <family val="2"/>
      </rPr>
      <t xml:space="preserve">Total </t>
    </r>
    <r>
      <rPr>
        <sz val="10"/>
        <rFont val="Arial"/>
        <family val="2"/>
      </rPr>
      <t>EPF balance</t>
    </r>
  </si>
  <si>
    <t>Current EPF Balance (from employee contribution alone)</t>
  </si>
  <si>
    <t>Current EPF Balance (from employer contribution alone)</t>
  </si>
  <si>
    <t>% corpus</t>
  </si>
  <si>
    <t>that can be withdrawn</t>
  </si>
  <si>
    <t>Age up to which you want to calculate the corpus</t>
  </si>
  <si>
    <t>Age at which you wish to quit your job</t>
  </si>
  <si>
    <t xml:space="preserve"> EPF balance due to employer contribution</t>
  </si>
</sst>
</file>

<file path=xl/styles.xml><?xml version="1.0" encoding="utf-8"?>
<styleSheet xmlns="http://schemas.openxmlformats.org/spreadsheetml/2006/main">
  <numFmts count="2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_ * #,##0_ ;_ * \-#,##0_ ;_ * &quot;-&quot;??_ ;_ @_ "/>
    <numFmt numFmtId="171" formatCode="0.0"/>
    <numFmt numFmtId="172" formatCode="0.0%"/>
    <numFmt numFmtId="173" formatCode="[$-4009]dd\ mmmm\ yyyy"/>
    <numFmt numFmtId="174" formatCode="0.0000%"/>
    <numFmt numFmtId="175" formatCode="0.000%"/>
    <numFmt numFmtId="176" formatCode="0.00000%"/>
    <numFmt numFmtId="177" formatCode="_ * #,##0.00000_ ;_ * \-#,##0.00000_ ;_ * &quot;-&quot;?????_ ;_ @_ "/>
    <numFmt numFmtId="178" formatCode="_ * #,##0.0_ ;_ * \-#,##0.0_ ;_ * &quot;-&quot;??_ ;_ @_ 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_ * #,##0.000_ ;_ * \-#,##0.0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170" fontId="3" fillId="33" borderId="10" xfId="42" applyNumberFormat="1" applyFont="1" applyFill="1" applyBorder="1" applyAlignment="1">
      <alignment horizontal="center"/>
    </xf>
    <xf numFmtId="9" fontId="3" fillId="33" borderId="10" xfId="57" applyFont="1" applyFill="1" applyBorder="1" applyAlignment="1">
      <alignment horizontal="center"/>
    </xf>
    <xf numFmtId="10" fontId="3" fillId="33" borderId="10" xfId="57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70" fontId="3" fillId="0" borderId="10" xfId="42" applyNumberFormat="1" applyFont="1" applyBorder="1" applyAlignment="1">
      <alignment horizontal="center"/>
    </xf>
    <xf numFmtId="0" fontId="0" fillId="34" borderId="0" xfId="0" applyFill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176" fontId="3" fillId="33" borderId="10" xfId="0" applyNumberFormat="1" applyFont="1" applyFill="1" applyBorder="1" applyAlignment="1">
      <alignment horizontal="center"/>
    </xf>
    <xf numFmtId="176" fontId="0" fillId="34" borderId="0" xfId="0" applyNumberFormat="1" applyFill="1" applyAlignment="1">
      <alignment/>
    </xf>
    <xf numFmtId="0" fontId="3" fillId="35" borderId="10" xfId="0" applyFont="1" applyFill="1" applyBorder="1" applyAlignment="1">
      <alignment/>
    </xf>
    <xf numFmtId="2" fontId="3" fillId="35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35" borderId="10" xfId="0" applyFont="1" applyFill="1" applyBorder="1" applyAlignment="1">
      <alignment/>
    </xf>
    <xf numFmtId="170" fontId="3" fillId="34" borderId="10" xfId="42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41" fillId="34" borderId="10" xfId="0" applyNumberFormat="1" applyFont="1" applyFill="1" applyBorder="1" applyAlignment="1">
      <alignment/>
    </xf>
    <xf numFmtId="9" fontId="3" fillId="33" borderId="10" xfId="0" applyNumberFormat="1" applyFont="1" applyFill="1" applyBorder="1" applyAlignment="1">
      <alignment horizontal="center"/>
    </xf>
    <xf numFmtId="43" fontId="3" fillId="0" borderId="10" xfId="42" applyFont="1" applyBorder="1" applyAlignment="1">
      <alignment horizontal="center"/>
    </xf>
    <xf numFmtId="170" fontId="3" fillId="36" borderId="10" xfId="42" applyNumberFormat="1" applyFont="1" applyFill="1" applyBorder="1" applyAlignment="1">
      <alignment horizontal="center"/>
    </xf>
    <xf numFmtId="170" fontId="3" fillId="34" borderId="10" xfId="42" applyNumberFormat="1" applyFont="1" applyFill="1" applyBorder="1" applyAlignment="1">
      <alignment/>
    </xf>
    <xf numFmtId="1" fontId="41" fillId="34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170" fontId="3" fillId="36" borderId="10" xfId="42" applyNumberFormat="1" applyFont="1" applyFill="1" applyBorder="1" applyAlignment="1">
      <alignment horizontal="center"/>
    </xf>
    <xf numFmtId="170" fontId="3" fillId="34" borderId="10" xfId="42" applyNumberFormat="1" applyFont="1" applyFill="1" applyBorder="1" applyAlignment="1">
      <alignment horizontal="center"/>
    </xf>
    <xf numFmtId="170" fontId="3" fillId="33" borderId="10" xfId="42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0" fillId="34" borderId="0" xfId="0" applyFill="1" applyBorder="1" applyAlignment="1">
      <alignment/>
    </xf>
    <xf numFmtId="0" fontId="3" fillId="0" borderId="11" xfId="0" applyFont="1" applyBorder="1" applyAlignment="1">
      <alignment horizontal="left"/>
    </xf>
    <xf numFmtId="170" fontId="3" fillId="34" borderId="12" xfId="42" applyNumberFormat="1" applyFont="1" applyFill="1" applyBorder="1" applyAlignment="1">
      <alignment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9" fontId="0" fillId="0" borderId="0" xfId="57" applyFont="1" applyAlignment="1">
      <alignment/>
    </xf>
    <xf numFmtId="0" fontId="42" fillId="0" borderId="10" xfId="0" applyFont="1" applyBorder="1" applyAlignment="1">
      <alignment/>
    </xf>
    <xf numFmtId="170" fontId="42" fillId="34" borderId="10" xfId="42" applyNumberFormat="1" applyFont="1" applyFill="1" applyBorder="1" applyAlignment="1">
      <alignment horizontal="center"/>
    </xf>
    <xf numFmtId="170" fontId="42" fillId="34" borderId="12" xfId="42" applyNumberFormat="1" applyFont="1" applyFill="1" applyBorder="1" applyAlignment="1">
      <alignment horizontal="center"/>
    </xf>
    <xf numFmtId="170" fontId="42" fillId="34" borderId="13" xfId="42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70" fontId="3" fillId="36" borderId="10" xfId="42" applyNumberFormat="1" applyFont="1" applyFill="1" applyBorder="1" applyAlignment="1">
      <alignment horizontal="center"/>
    </xf>
    <xf numFmtId="170" fontId="3" fillId="34" borderId="10" xfId="42" applyNumberFormat="1" applyFont="1" applyFill="1" applyBorder="1" applyAlignment="1">
      <alignment horizontal="center"/>
    </xf>
    <xf numFmtId="170" fontId="42" fillId="34" borderId="10" xfId="42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725"/>
          <c:w val="0.991"/>
          <c:h val="0.8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'Contribution schedule'!$H$1:$H$2</c:f>
              <c:strCache>
                <c:ptCount val="1"/>
                <c:pt idx="0">
                  <c:v>Total EPF balance closing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'Contribution schedule'!$B$3:$B$53</c:f>
              <c:numCache>
                <c:ptCount val="51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</c:numCache>
            </c:numRef>
          </c:xVal>
          <c:yVal>
            <c:numRef>
              <c:f>'Contribution schedule'!$H$3:$H$53</c:f>
              <c:numCache>
                <c:ptCount val="51"/>
                <c:pt idx="0">
                  <c:v>16367.0016</c:v>
                </c:pt>
                <c:pt idx="1">
                  <c:v>34665.30938880001</c:v>
                </c:pt>
                <c:pt idx="2">
                  <c:v>55079.608612454416</c:v>
                </c:pt>
                <c:pt idx="3">
                  <c:v>77811.27872771362</c:v>
                </c:pt>
                <c:pt idx="4">
                  <c:v>103079.87574983653</c:v>
                </c:pt>
                <c:pt idx="5">
                  <c:v>131124.74544472876</c:v>
                </c:pt>
                <c:pt idx="6">
                  <c:v>162206.7788916387</c:v>
                </c:pt>
                <c:pt idx="7">
                  <c:v>196610.32295730995</c:v>
                </c:pt>
                <c:pt idx="8">
                  <c:v>234645.25932645646</c:v>
                </c:pt>
                <c:pt idx="9">
                  <c:v>276649.266934555</c:v>
                </c:pt>
                <c:pt idx="10">
                  <c:v>322990.2839557873</c:v>
                </c:pt>
                <c:pt idx="11">
                  <c:v>374069.1869208178</c:v>
                </c:pt>
                <c:pt idx="12">
                  <c:v>430322.70608607866</c:v>
                </c:pt>
                <c:pt idx="13">
                  <c:v>492226.5978593693</c:v>
                </c:pt>
                <c:pt idx="14">
                  <c:v>560299.096917841</c:v>
                </c:pt>
                <c:pt idx="15">
                  <c:v>635104.6726468637</c:v>
                </c:pt>
                <c:pt idx="16">
                  <c:v>717258.116696048</c:v>
                </c:pt>
                <c:pt idx="17">
                  <c:v>807428.9908072482</c:v>
                </c:pt>
                <c:pt idx="18">
                  <c:v>906346.4666354925</c:v>
                </c:pt>
                <c:pt idx="19">
                  <c:v>1014804.5920757385</c:v>
                </c:pt>
                <c:pt idx="20">
                  <c:v>1133668.0216460158</c:v>
                </c:pt>
                <c:pt idx="21">
                  <c:v>1263878.251782506</c:v>
                </c:pt>
                <c:pt idx="22">
                  <c:v>1406818.0264630523</c:v>
                </c:pt>
                <c:pt idx="23">
                  <c:v>1563777.4601311972</c:v>
                </c:pt>
                <c:pt idx="24">
                  <c:v>1736033.511542321</c:v>
                </c:pt>
                <c:pt idx="25">
                  <c:v>1924976.808685211</c:v>
                </c:pt>
                <c:pt idx="26">
                  <c:v>2132121.69058049</c:v>
                </c:pt>
                <c:pt idx="27">
                  <c:v>2359117.1339244833</c:v>
                </c:pt>
                <c:pt idx="28">
                  <c:v>2607758.6424799357</c:v>
                </c:pt>
                <c:pt idx="29">
                  <c:v>2880001.1839713706</c:v>
                </c:pt>
                <c:pt idx="30">
                  <c:v>3177973.2667026473</c:v>
                </c:pt>
                <c:pt idx="31">
                  <c:v>3503992.256230531</c:v>
                </c:pt>
                <c:pt idx="32">
                  <c:v>3860581.0412586094</c:v>
                </c:pt>
                <c:pt idx="33">
                  <c:v>4250486.167523553</c:v>
                </c:pt>
                <c:pt idx="34">
                  <c:v>4676697.568898836</c:v>
                </c:pt>
                <c:pt idx="35">
                  <c:v>5142470.036314142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'Contribution schedule'!$K$1:$K$2</c:f>
              <c:strCache>
                <c:ptCount val="1"/>
                <c:pt idx="0">
                  <c:v>EPF  Withdrawal Limit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'Contribution schedule'!$B$3:$B$53</c:f>
              <c:numCache>
                <c:ptCount val="51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</c:numCache>
            </c:numRef>
          </c:xVal>
          <c:yVal>
            <c:numRef>
              <c:f>'Contribution schedule'!$K$3:$K$53</c:f>
              <c:numCache>
                <c:ptCount val="51"/>
                <c:pt idx="0">
                  <c:v>12533.759999999998</c:v>
                </c:pt>
                <c:pt idx="1">
                  <c:v>26546.503680000005</c:v>
                </c:pt>
                <c:pt idx="2">
                  <c:v>42179.661987840016</c:v>
                </c:pt>
                <c:pt idx="3">
                  <c:v>59587.45020628995</c:v>
                </c:pt>
                <c:pt idx="4">
                  <c:v>78938.00312686907</c:v>
                </c:pt>
                <c:pt idx="5">
                  <c:v>100414.6104235319</c:v>
                </c:pt>
                <c:pt idx="6">
                  <c:v>124217.06105294602</c:v>
                </c:pt>
                <c:pt idx="7">
                  <c:v>150563.1062851129</c:v>
                </c:pt>
                <c:pt idx="8">
                  <c:v>179690.0518134957</c:v>
                </c:pt>
                <c:pt idx="9">
                  <c:v>211856.49031363497</c:v>
                </c:pt>
                <c:pt idx="10">
                  <c:v>247344.18682000303</c:v>
                </c:pt>
                <c:pt idx="11">
                  <c:v>286460.1303796945</c:v>
                </c:pt>
                <c:pt idx="12">
                  <c:v>329538.76662622485</c:v>
                </c:pt>
                <c:pt idx="13">
                  <c:v>376944.4272056433</c:v>
                </c:pt>
                <c:pt idx="14">
                  <c:v>429073.97338954</c:v>
                </c:pt>
                <c:pt idx="15">
                  <c:v>486359.67273531365</c:v>
                </c:pt>
                <c:pt idx="16">
                  <c:v>549272.32931414</c:v>
                </c:pt>
                <c:pt idx="17">
                  <c:v>618324.6898332468</c:v>
                </c:pt>
                <c:pt idx="18">
                  <c:v>694075.1499442188</c:v>
                </c:pt>
                <c:pt idx="19">
                  <c:v>777131.7871671257</c:v>
                </c:pt>
                <c:pt idx="20">
                  <c:v>868156.749186483</c:v>
                </c:pt>
                <c:pt idx="21">
                  <c:v>967871.0288060033</c:v>
                </c:pt>
                <c:pt idx="22">
                  <c:v>1077059.6596027743</c:v>
                </c:pt>
                <c:pt idx="23">
                  <c:v>1196577.3693175167</c:v>
                </c:pt>
                <c:pt idx="24">
                  <c:v>1327354.7312772474</c:v>
                </c:pt>
                <c:pt idx="25">
                  <c:v>1470404.857693228</c:v>
                </c:pt>
                <c:pt idx="26">
                  <c:v>1626830.6825357222</c:v>
                </c:pt>
                <c:pt idx="27">
                  <c:v>1797832.8858853208</c:v>
                </c:pt>
                <c:pt idx="28">
                  <c:v>1984718.5162282782</c:v>
                </c:pt>
                <c:pt idx="29">
                  <c:v>2188910.372132967</c:v>
                </c:pt>
                <c:pt idx="30">
                  <c:v>2411957.210151566</c:v>
                </c:pt>
                <c:pt idx="31">
                  <c:v>2655544.851673929</c:v>
                </c:pt>
                <c:pt idx="32">
                  <c:v>3474522.9371327483</c:v>
                </c:pt>
                <c:pt idx="33">
                  <c:v>4250486.167523553</c:v>
                </c:pt>
                <c:pt idx="34">
                  <c:v>4676697.568898836</c:v>
                </c:pt>
                <c:pt idx="35">
                  <c:v>5142470.036314142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</c:numCache>
            </c:numRef>
          </c:yVal>
          <c:smooth val="1"/>
        </c:ser>
        <c:axId val="21001972"/>
        <c:axId val="54800021"/>
      </c:scatterChart>
      <c:valAx>
        <c:axId val="21001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00021"/>
        <c:crosses val="autoZero"/>
        <c:crossBetween val="midCat"/>
        <c:dispUnits/>
      </c:valAx>
      <c:valAx>
        <c:axId val="548000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01972"/>
        <c:crosses val="autoZero"/>
        <c:crossBetween val="midCat"/>
        <c:dispUnits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2075"/>
          <c:y val="0.00625"/>
          <c:w val="0.554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125"/>
          <c:y val="0.182"/>
          <c:w val="0.9875"/>
          <c:h val="0.7575"/>
        </c:manualLayout>
      </c:layout>
      <c:scatterChart>
        <c:scatterStyle val="smoothMarker"/>
        <c:varyColors val="0"/>
        <c:ser>
          <c:idx val="2"/>
          <c:order val="0"/>
          <c:tx>
            <c:v>Percentage of EPF Corpus that can be withdrawn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'Contribution schedule'!$B$3:$B$53</c:f>
              <c:numCache>
                <c:ptCount val="51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</c:numCache>
            </c:numRef>
          </c:xVal>
          <c:yVal>
            <c:numRef>
              <c:f>'Contribution schedule'!$M$3:$M$53</c:f>
              <c:numCache>
                <c:ptCount val="51"/>
                <c:pt idx="0">
                  <c:v>0.7657945118059987</c:v>
                </c:pt>
                <c:pt idx="1">
                  <c:v>0.7657945118059987</c:v>
                </c:pt>
                <c:pt idx="2">
                  <c:v>0.7657945118059988</c:v>
                </c:pt>
                <c:pt idx="3">
                  <c:v>0.7657945118059988</c:v>
                </c:pt>
                <c:pt idx="4">
                  <c:v>0.7657945118059987</c:v>
                </c:pt>
                <c:pt idx="5">
                  <c:v>0.7657945118059987</c:v>
                </c:pt>
                <c:pt idx="6">
                  <c:v>0.7657945118059987</c:v>
                </c:pt>
                <c:pt idx="7">
                  <c:v>0.7657945118059987</c:v>
                </c:pt>
                <c:pt idx="8">
                  <c:v>0.7657945118059987</c:v>
                </c:pt>
                <c:pt idx="9">
                  <c:v>0.7657945118059987</c:v>
                </c:pt>
                <c:pt idx="10">
                  <c:v>0.7657945118059987</c:v>
                </c:pt>
                <c:pt idx="11">
                  <c:v>0.7657945118059986</c:v>
                </c:pt>
                <c:pt idx="12">
                  <c:v>0.7657945118059987</c:v>
                </c:pt>
                <c:pt idx="13">
                  <c:v>0.7657945118059987</c:v>
                </c:pt>
                <c:pt idx="14">
                  <c:v>0.7657945118059987</c:v>
                </c:pt>
                <c:pt idx="15">
                  <c:v>0.7657945118059988</c:v>
                </c:pt>
                <c:pt idx="16">
                  <c:v>0.7657945118059987</c:v>
                </c:pt>
                <c:pt idx="17">
                  <c:v>0.7657945118059987</c:v>
                </c:pt>
                <c:pt idx="18">
                  <c:v>0.7657945118059987</c:v>
                </c:pt>
                <c:pt idx="19">
                  <c:v>0.7657945118059987</c:v>
                </c:pt>
                <c:pt idx="20">
                  <c:v>0.7657945118059987</c:v>
                </c:pt>
                <c:pt idx="21">
                  <c:v>0.7657945118059987</c:v>
                </c:pt>
                <c:pt idx="22">
                  <c:v>0.7655998425828114</c:v>
                </c:pt>
                <c:pt idx="23">
                  <c:v>0.7651839215134401</c:v>
                </c:pt>
                <c:pt idx="24">
                  <c:v>0.764590500386138</c:v>
                </c:pt>
                <c:pt idx="25">
                  <c:v>0.7638558818262009</c:v>
                </c:pt>
                <c:pt idx="26">
                  <c:v>0.7630102398577457</c:v>
                </c:pt>
                <c:pt idx="27">
                  <c:v>0.7620786861458446</c:v>
                </c:pt>
                <c:pt idx="28">
                  <c:v>0.761082135400707</c:v>
                </c:pt>
                <c:pt idx="29">
                  <c:v>0.7600380112047643</c:v>
                </c:pt>
                <c:pt idx="30">
                  <c:v>0.7589608243162246</c:v>
                </c:pt>
                <c:pt idx="31">
                  <c:v>0.7578626485124339</c:v>
                </c:pt>
                <c:pt idx="32">
                  <c:v>0.8999999999999999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</c:numCache>
            </c:numRef>
          </c:yVal>
          <c:smooth val="1"/>
        </c:ser>
        <c:axId val="23438142"/>
        <c:axId val="9616687"/>
      </c:scatterChart>
      <c:valAx>
        <c:axId val="23438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16687"/>
        <c:crosses val="autoZero"/>
        <c:crossBetween val="midCat"/>
        <c:dispUnits/>
      </c:valAx>
      <c:valAx>
        <c:axId val="9616687"/>
        <c:scaling>
          <c:orientation val="minMax"/>
          <c:min val="0.750000000000000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3814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4025"/>
          <c:y val="0.113"/>
          <c:w val="0.514"/>
          <c:h val="0.05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0</xdr:row>
      <xdr:rowOff>95250</xdr:rowOff>
    </xdr:from>
    <xdr:to>
      <xdr:col>13</xdr:col>
      <xdr:colOff>76200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5524500" y="95250"/>
        <a:ext cx="6657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23</xdr:row>
      <xdr:rowOff>66675</xdr:rowOff>
    </xdr:from>
    <xdr:to>
      <xdr:col>3</xdr:col>
      <xdr:colOff>561975</xdr:colOff>
      <xdr:row>43</xdr:row>
      <xdr:rowOff>152400</xdr:rowOff>
    </xdr:to>
    <xdr:graphicFrame>
      <xdr:nvGraphicFramePr>
        <xdr:cNvPr id="2" name="Chart 2"/>
        <xdr:cNvGraphicFramePr/>
      </xdr:nvGraphicFramePr>
      <xdr:xfrm>
        <a:off x="57150" y="4229100"/>
        <a:ext cx="651510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="145" zoomScaleNormal="145" zoomScalePageLayoutView="0" workbookViewId="0" topLeftCell="C1">
      <selection activeCell="B2" sqref="B2"/>
    </sheetView>
  </sheetViews>
  <sheetFormatPr defaultColWidth="9.140625" defaultRowHeight="15"/>
  <cols>
    <col min="1" max="1" width="68.140625" style="0" bestFit="1" customWidth="1"/>
    <col min="2" max="2" width="12.8515625" style="0" bestFit="1" customWidth="1"/>
  </cols>
  <sheetData>
    <row r="1" spans="1:15" ht="14.25">
      <c r="A1" s="43" t="s">
        <v>0</v>
      </c>
      <c r="B1" s="44"/>
      <c r="C1" s="9"/>
      <c r="D1" s="9"/>
      <c r="E1" s="9"/>
      <c r="F1" s="9"/>
      <c r="G1" s="9"/>
      <c r="H1" s="9"/>
      <c r="I1" s="9"/>
      <c r="J1" s="9"/>
      <c r="O1" s="9"/>
    </row>
    <row r="2" spans="1:15" ht="14.25">
      <c r="A2" s="33" t="s">
        <v>34</v>
      </c>
      <c r="B2" s="2">
        <v>24</v>
      </c>
      <c r="C2" s="9"/>
      <c r="D2" s="9"/>
      <c r="E2" s="9"/>
      <c r="F2" s="9"/>
      <c r="G2" s="9"/>
      <c r="H2" s="9"/>
      <c r="I2" s="9"/>
      <c r="J2" s="9"/>
      <c r="O2" s="9"/>
    </row>
    <row r="3" spans="1:15" ht="14.25">
      <c r="A3" s="1" t="s">
        <v>39</v>
      </c>
      <c r="B3" s="2"/>
      <c r="C3" s="9"/>
      <c r="D3" s="9"/>
      <c r="E3" s="9"/>
      <c r="F3" s="9"/>
      <c r="G3" s="9"/>
      <c r="H3" s="9"/>
      <c r="I3" s="9"/>
      <c r="J3" s="9"/>
      <c r="O3" s="9"/>
    </row>
    <row r="4" spans="1:15" ht="14.25">
      <c r="A4" s="1" t="s">
        <v>40</v>
      </c>
      <c r="B4" s="2"/>
      <c r="C4" s="9"/>
      <c r="D4" s="9"/>
      <c r="E4" s="9"/>
      <c r="F4" s="9"/>
      <c r="G4" s="9"/>
      <c r="H4" s="9"/>
      <c r="I4" s="9"/>
      <c r="J4" s="9"/>
      <c r="O4" s="9"/>
    </row>
    <row r="5" spans="1:15" ht="14.25">
      <c r="A5" s="1" t="s">
        <v>14</v>
      </c>
      <c r="B5" s="2"/>
      <c r="C5" s="9"/>
      <c r="D5" s="9"/>
      <c r="E5" s="9"/>
      <c r="F5" s="9"/>
      <c r="G5" s="9"/>
      <c r="H5" s="9"/>
      <c r="I5" s="9"/>
      <c r="J5" s="9"/>
      <c r="O5" s="9"/>
    </row>
    <row r="6" spans="1:15" ht="14.25">
      <c r="A6" s="1" t="s">
        <v>33</v>
      </c>
      <c r="B6" s="30">
        <v>15000</v>
      </c>
      <c r="C6" s="31"/>
      <c r="D6" s="32"/>
      <c r="E6" s="32"/>
      <c r="F6" s="9"/>
      <c r="G6" s="9"/>
      <c r="H6" s="9"/>
      <c r="I6" s="9"/>
      <c r="J6" s="9"/>
      <c r="O6" s="9"/>
    </row>
    <row r="7" spans="1:15" ht="14.25">
      <c r="A7" s="1" t="s">
        <v>2</v>
      </c>
      <c r="B7" s="3">
        <v>0.12</v>
      </c>
      <c r="C7" s="9"/>
      <c r="D7" s="9"/>
      <c r="E7" s="9"/>
      <c r="F7" s="9"/>
      <c r="G7" s="9"/>
      <c r="H7" s="9"/>
      <c r="I7" s="9"/>
      <c r="J7" s="9"/>
      <c r="O7" s="9"/>
    </row>
    <row r="8" spans="1:15" ht="14.25">
      <c r="A8" s="1" t="s">
        <v>3</v>
      </c>
      <c r="B8" s="4">
        <v>0.0367</v>
      </c>
      <c r="C8" s="9"/>
      <c r="D8" s="9"/>
      <c r="E8" s="9"/>
      <c r="F8" s="9"/>
      <c r="G8" s="9"/>
      <c r="H8" s="9"/>
      <c r="I8" s="9"/>
      <c r="J8" s="9"/>
      <c r="O8" s="9"/>
    </row>
    <row r="9" spans="1:15" ht="14.25">
      <c r="A9" s="1" t="s">
        <v>4</v>
      </c>
      <c r="B9" s="5">
        <v>8000</v>
      </c>
      <c r="C9" s="13"/>
      <c r="D9" s="9"/>
      <c r="E9" s="9"/>
      <c r="F9" s="9"/>
      <c r="G9" s="9"/>
      <c r="H9" s="9"/>
      <c r="I9" s="9"/>
      <c r="J9" s="9"/>
      <c r="O9" s="9"/>
    </row>
    <row r="10" spans="1:15" ht="14.25">
      <c r="A10" s="1" t="s">
        <v>1</v>
      </c>
      <c r="B10" s="12">
        <v>0.088</v>
      </c>
      <c r="C10" s="9"/>
      <c r="D10" s="9"/>
      <c r="E10" s="9"/>
      <c r="F10" s="9"/>
      <c r="G10" s="9"/>
      <c r="H10" s="9"/>
      <c r="I10" s="9"/>
      <c r="J10" s="9"/>
      <c r="O10" s="9"/>
    </row>
    <row r="11" spans="1:15" ht="14.25">
      <c r="A11" s="14" t="s">
        <v>17</v>
      </c>
      <c r="B11" s="16"/>
      <c r="C11" s="9"/>
      <c r="D11" s="9"/>
      <c r="E11" s="9"/>
      <c r="F11" s="9"/>
      <c r="G11" s="9"/>
      <c r="H11" s="9"/>
      <c r="I11" s="9"/>
      <c r="J11" s="9"/>
      <c r="O11" s="9"/>
    </row>
    <row r="12" spans="1:15" ht="14.25">
      <c r="A12" s="18" t="s">
        <v>8</v>
      </c>
      <c r="B12" s="15" t="s">
        <v>5</v>
      </c>
      <c r="C12" s="9"/>
      <c r="D12" s="9"/>
      <c r="E12" s="9"/>
      <c r="F12" s="9"/>
      <c r="G12" s="9"/>
      <c r="H12" s="9"/>
      <c r="I12" s="9"/>
      <c r="J12" s="9"/>
      <c r="O12" s="9"/>
    </row>
    <row r="13" spans="1:15" ht="14.25">
      <c r="A13" s="18" t="s">
        <v>9</v>
      </c>
      <c r="B13" s="15" t="s">
        <v>6</v>
      </c>
      <c r="C13" s="9"/>
      <c r="D13" s="9"/>
      <c r="E13" s="9"/>
      <c r="F13" s="9"/>
      <c r="G13" s="9"/>
      <c r="H13" s="9"/>
      <c r="I13" s="9"/>
      <c r="J13" s="9"/>
      <c r="O13" s="9"/>
    </row>
    <row r="14" spans="1:15" ht="14.25">
      <c r="A14" s="18" t="s">
        <v>10</v>
      </c>
      <c r="B14" s="15" t="s">
        <v>7</v>
      </c>
      <c r="C14" s="9"/>
      <c r="D14" s="9"/>
      <c r="E14" s="9"/>
      <c r="F14" s="9"/>
      <c r="G14" s="9"/>
      <c r="H14" s="9"/>
      <c r="I14" s="9"/>
      <c r="J14" s="9"/>
      <c r="O14" s="9"/>
    </row>
    <row r="15" spans="1:15" ht="14.25">
      <c r="A15" s="1" t="s">
        <v>32</v>
      </c>
      <c r="B15" s="6" t="s">
        <v>5</v>
      </c>
      <c r="C15" s="9"/>
      <c r="D15" s="9"/>
      <c r="E15" s="9"/>
      <c r="F15" s="9"/>
      <c r="G15" s="9"/>
      <c r="H15" s="9"/>
      <c r="I15" s="9"/>
      <c r="J15" s="9"/>
      <c r="O15" s="9"/>
    </row>
    <row r="16" spans="1:15" ht="14.25">
      <c r="A16" s="1" t="s">
        <v>30</v>
      </c>
      <c r="B16" s="8">
        <f>IF(B9&lt;B6,(B9*B7)+(B9*B8),IF(B15=B12,(B9*B7)+(B9*B7)-(B6*(B7-B8)),IF(B15=B13,(B9*B7)+(B6*B8),IF(B15=B14,(B6*B7)+(B6*B8),0))))</f>
        <v>1253.6</v>
      </c>
      <c r="C16" s="9"/>
      <c r="D16" s="9"/>
      <c r="E16" s="9"/>
      <c r="F16" s="9"/>
      <c r="G16" s="9"/>
      <c r="H16" s="9"/>
      <c r="I16" s="9"/>
      <c r="J16" s="9"/>
      <c r="O16" s="9"/>
    </row>
    <row r="17" spans="1:15" ht="14.25">
      <c r="A17" s="1" t="s">
        <v>31</v>
      </c>
      <c r="B17" s="22">
        <v>0.03</v>
      </c>
      <c r="C17" s="9"/>
      <c r="D17" s="9"/>
      <c r="E17" s="9"/>
      <c r="F17" s="9"/>
      <c r="G17" s="9"/>
      <c r="H17" s="9"/>
      <c r="I17" s="9"/>
      <c r="J17" s="9"/>
      <c r="O17" s="9"/>
    </row>
    <row r="18" spans="1:15" ht="14.25">
      <c r="A18" s="1" t="s">
        <v>43</v>
      </c>
      <c r="B18" s="7">
        <v>60</v>
      </c>
      <c r="C18" s="9"/>
      <c r="D18" s="9"/>
      <c r="E18" s="9"/>
      <c r="F18" s="9"/>
      <c r="G18" s="9"/>
      <c r="H18" s="9"/>
      <c r="I18" s="9"/>
      <c r="J18" s="9"/>
      <c r="O18" s="9"/>
    </row>
    <row r="19" spans="1:15" ht="14.25">
      <c r="A19" s="39" t="s">
        <v>44</v>
      </c>
      <c r="B19" s="7">
        <v>60</v>
      </c>
      <c r="C19" s="9"/>
      <c r="D19" s="9"/>
      <c r="E19" s="9"/>
      <c r="F19" s="9"/>
      <c r="G19" s="9"/>
      <c r="H19" s="9"/>
      <c r="I19" s="9"/>
      <c r="J19" s="9"/>
      <c r="O19" s="9"/>
    </row>
    <row r="20" spans="1:15" ht="14.25">
      <c r="A20" s="1" t="s">
        <v>15</v>
      </c>
      <c r="B20" s="23">
        <f>MAX('Contribution schedule'!H3:H41)</f>
        <v>5142470.036314142</v>
      </c>
      <c r="C20" s="9"/>
      <c r="D20" s="9"/>
      <c r="E20" s="9"/>
      <c r="F20" s="9"/>
      <c r="G20" s="9"/>
      <c r="H20" s="9"/>
      <c r="I20" s="9"/>
      <c r="J20" s="9"/>
      <c r="O20" s="9"/>
    </row>
    <row r="21" spans="1:15" ht="14.25">
      <c r="A21" s="1" t="s">
        <v>16</v>
      </c>
      <c r="B21" s="8">
        <f>MAX('Contribution schedule'!O3:O53)</f>
        <v>385845.5999999999</v>
      </c>
      <c r="C21" s="9"/>
      <c r="D21" s="9"/>
      <c r="E21" s="9"/>
      <c r="F21" s="9"/>
      <c r="G21" s="9"/>
      <c r="H21" s="9"/>
      <c r="I21" s="9"/>
      <c r="J21" s="9"/>
      <c r="O21" s="9"/>
    </row>
    <row r="22" spans="1:15" ht="14.25">
      <c r="A22" s="1" t="s">
        <v>11</v>
      </c>
      <c r="B22" s="8">
        <f>IF(B9&lt;B6,1.61%*B9,1.61%*B6)</f>
        <v>128.8</v>
      </c>
      <c r="C22" s="9"/>
      <c r="D22" s="9"/>
      <c r="E22" s="9"/>
      <c r="F22" s="9"/>
      <c r="G22" s="9"/>
      <c r="H22" s="9"/>
      <c r="I22" s="9"/>
      <c r="J22" s="9"/>
      <c r="O22" s="9"/>
    </row>
    <row r="23" spans="1:15" ht="14.25">
      <c r="A23" s="10" t="s">
        <v>18</v>
      </c>
      <c r="B23" s="11"/>
      <c r="C23" s="9"/>
      <c r="D23" s="9"/>
      <c r="E23" s="9"/>
      <c r="F23" s="9"/>
      <c r="G23" s="9"/>
      <c r="H23" s="9"/>
      <c r="I23" s="9"/>
      <c r="J23" s="9"/>
      <c r="O23" s="9"/>
    </row>
    <row r="24" spans="1:15" ht="14.25">
      <c r="A24" s="9"/>
      <c r="B24" s="9"/>
      <c r="C24" s="9"/>
      <c r="D24" s="9"/>
      <c r="E24" s="9"/>
      <c r="F24" s="9"/>
      <c r="G24" s="9"/>
      <c r="H24" s="9"/>
      <c r="I24" s="9"/>
      <c r="J24" s="9"/>
      <c r="O24" s="9"/>
    </row>
    <row r="25" spans="1:15" ht="14.25">
      <c r="A25" s="9"/>
      <c r="B25" s="9"/>
      <c r="C25" s="9"/>
      <c r="D25" s="9"/>
      <c r="E25" s="9"/>
      <c r="F25" s="9"/>
      <c r="G25" s="9"/>
      <c r="H25" s="9"/>
      <c r="I25" s="9"/>
      <c r="J25" s="9"/>
      <c r="O25" s="9"/>
    </row>
    <row r="26" spans="1:15" ht="14.25">
      <c r="A26" s="9"/>
      <c r="B26" s="9"/>
      <c r="C26" s="9"/>
      <c r="D26" s="9"/>
      <c r="E26" s="9"/>
      <c r="F26" s="9"/>
      <c r="G26" s="9"/>
      <c r="H26" s="9"/>
      <c r="I26" s="9"/>
      <c r="J26" s="9"/>
      <c r="O26" s="9"/>
    </row>
    <row r="27" spans="1:10" ht="14.25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ht="14.25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ht="14.25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ht="14.25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ht="14.25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ht="14.25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ht="14.25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ht="14.25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ht="14.25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ht="14.25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ht="14.25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ht="14.25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 ht="14.25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0" ht="14.25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10" ht="14.25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0" ht="14.25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0" ht="14.25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0" ht="14.25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4:10" ht="14.25">
      <c r="D45" s="9"/>
      <c r="E45" s="9"/>
      <c r="F45" s="9"/>
      <c r="G45" s="9"/>
      <c r="H45" s="9"/>
      <c r="I45" s="9"/>
      <c r="J45" s="9"/>
    </row>
  </sheetData>
  <sheetProtection/>
  <mergeCells count="1">
    <mergeCell ref="A1:B1"/>
  </mergeCells>
  <dataValidations count="1">
    <dataValidation type="list" allowBlank="1" showInputMessage="1" showErrorMessage="1" sqref="B15">
      <formula1>$B$12:$B$14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zoomScale="115" zoomScaleNormal="115" zoomScalePageLayoutView="0" workbookViewId="0" topLeftCell="B1">
      <pane ySplit="2" topLeftCell="A3" activePane="bottomLeft" state="frozen"/>
      <selection pane="topLeft" activeCell="A1" sqref="A1"/>
      <selection pane="bottomLeft" activeCell="N2" sqref="N2"/>
    </sheetView>
  </sheetViews>
  <sheetFormatPr defaultColWidth="9.140625" defaultRowHeight="15"/>
  <cols>
    <col min="1" max="1" width="6.00390625" style="20" hidden="1" customWidth="1"/>
    <col min="2" max="2" width="14.7109375" style="37" bestFit="1" customWidth="1"/>
    <col min="3" max="3" width="10.7109375" style="17" bestFit="1" customWidth="1"/>
    <col min="4" max="4" width="10.421875" style="0" bestFit="1" customWidth="1"/>
    <col min="5" max="5" width="10.57421875" style="0" bestFit="1" customWidth="1"/>
    <col min="6" max="6" width="6.7109375" style="17" bestFit="1" customWidth="1"/>
    <col min="7" max="8" width="10.28125" style="0" bestFit="1" customWidth="1"/>
    <col min="9" max="9" width="10.28125" style="0" customWidth="1"/>
    <col min="10" max="10" width="28.421875" style="35" customWidth="1"/>
    <col min="11" max="11" width="15.421875" style="37" bestFit="1" customWidth="1"/>
    <col min="12" max="12" width="20.8515625" style="0" customWidth="1"/>
    <col min="13" max="13" width="21.28125" style="0" customWidth="1"/>
    <col min="14" max="15" width="9.28125" style="0" bestFit="1" customWidth="1"/>
    <col min="16" max="16" width="16.00390625" style="0" bestFit="1" customWidth="1"/>
  </cols>
  <sheetData>
    <row r="1" spans="1:16" ht="14.25">
      <c r="A1" s="27"/>
      <c r="B1" s="11" t="s">
        <v>37</v>
      </c>
      <c r="C1" s="27"/>
      <c r="D1" s="45" t="s">
        <v>19</v>
      </c>
      <c r="E1" s="45"/>
      <c r="F1" s="45"/>
      <c r="G1" s="46" t="s">
        <v>38</v>
      </c>
      <c r="H1" s="46"/>
      <c r="I1" s="47" t="s">
        <v>45</v>
      </c>
      <c r="J1" s="47"/>
      <c r="K1" s="40" t="s">
        <v>28</v>
      </c>
      <c r="L1" s="41" t="s">
        <v>27</v>
      </c>
      <c r="M1" s="42" t="s">
        <v>41</v>
      </c>
      <c r="N1" s="45" t="s">
        <v>25</v>
      </c>
      <c r="O1" s="45"/>
      <c r="P1" s="19" t="s">
        <v>29</v>
      </c>
    </row>
    <row r="2" spans="1:16" ht="14.25">
      <c r="A2" s="29" t="s">
        <v>12</v>
      </c>
      <c r="B2" s="29" t="s">
        <v>36</v>
      </c>
      <c r="C2" s="29" t="s">
        <v>13</v>
      </c>
      <c r="D2" s="28" t="s">
        <v>20</v>
      </c>
      <c r="E2" s="28" t="s">
        <v>21</v>
      </c>
      <c r="F2" s="28" t="s">
        <v>22</v>
      </c>
      <c r="G2" s="29" t="s">
        <v>23</v>
      </c>
      <c r="H2" s="29" t="s">
        <v>24</v>
      </c>
      <c r="I2" s="40" t="s">
        <v>23</v>
      </c>
      <c r="J2" s="40" t="s">
        <v>24</v>
      </c>
      <c r="K2" s="40" t="s">
        <v>35</v>
      </c>
      <c r="L2" s="41" t="s">
        <v>26</v>
      </c>
      <c r="M2" s="42" t="s">
        <v>42</v>
      </c>
      <c r="N2" s="24" t="s">
        <v>23</v>
      </c>
      <c r="O2" s="24" t="s">
        <v>24</v>
      </c>
      <c r="P2" s="19" t="s">
        <v>28</v>
      </c>
    </row>
    <row r="3" spans="1:16" ht="14.25">
      <c r="A3" s="25">
        <f>Inputs!B2+1</f>
        <v>25</v>
      </c>
      <c r="B3" s="11">
        <f>Inputs!B2+1</f>
        <v>25</v>
      </c>
      <c r="C3" s="26">
        <f>Inputs!B9</f>
        <v>8000</v>
      </c>
      <c r="D3" s="26">
        <f>IF(B3&gt;Inputs!$B$19,0,IF(C3&lt;Inputs!$B$6,(C3*Inputs!$B$7),IF(Inputs!$B$15=Inputs!$B$12,(C3*Inputs!$B$7),IF(Inputs!$B$15=Inputs!$B$13,(C3*Inputs!$B$7),IF(Inputs!$B$15=Inputs!$B$14,(Inputs!$B$6*Inputs!$B$7),0)))))</f>
        <v>960</v>
      </c>
      <c r="E3" s="26">
        <f>IF(B3&gt;Inputs!$B$19,0,IF(C3&lt;Inputs!$B$6,(C3*Inputs!$B$8),IF(Inputs!$B$15=Inputs!$B$12,(C3*Inputs!$B$7)-(Inputs!$B$6*(Inputs!$B$7-Inputs!$B$8)),IF(Inputs!$B$15=Inputs!$B$13,(Inputs!$B$6*Inputs!$B$8),IF(Inputs!$B$15=Inputs!$B$14,(Inputs!$B$6*Inputs!$B$8),0)))))</f>
        <v>293.6</v>
      </c>
      <c r="F3" s="25">
        <f>IF(B3&gt;Inputs!$B$19,0,IF(C3&lt;Inputs!$B$6,(C3*Inputs!$B$7)+(C3*Inputs!$B$8),IF(Inputs!$B$15=Inputs!$B$12,(C3*Inputs!$B$7)+(C3*Inputs!$B$7)-(Inputs!$B$6*(Inputs!$B$7-Inputs!$B$8)),IF(Inputs!$B$15=Inputs!$B$13,(C3*Inputs!$B$7)+(Inputs!$B$6*Inputs!$B$8),IF(Inputs!$B$15=Inputs!$B$14,(Inputs!$B$6*Inputs!$B$7)+(Inputs!$B$6*Inputs!$B$8),0)))))</f>
        <v>1253.6</v>
      </c>
      <c r="G3" s="25">
        <f>Inputs!B3+Inputs!B4</f>
        <v>0</v>
      </c>
      <c r="H3" s="25">
        <f>(G3+12*F3)*(1+Inputs!$B$10)</f>
        <v>16367.0016</v>
      </c>
      <c r="I3" s="25">
        <f>Inputs!B4</f>
        <v>0</v>
      </c>
      <c r="J3" s="36">
        <f>(12*E3)*(1+Inputs!$B$10)</f>
        <v>3833.2416000000007</v>
      </c>
      <c r="K3" s="25">
        <f>H3-J3</f>
        <v>12533.759999999998</v>
      </c>
      <c r="L3" s="34">
        <f>IF(C3&lt;Inputs!$B$6,Inputs!$B$9*(Inputs!$B$7-Inputs!$B$8),Inputs!$B$6*(Inputs!$B$7-Inputs!$B$8))</f>
        <v>666.3999999999999</v>
      </c>
      <c r="M3" s="38">
        <f>K3/H3</f>
        <v>0.7657945118059987</v>
      </c>
      <c r="N3" s="25">
        <f>Inputs!B5</f>
        <v>0</v>
      </c>
      <c r="O3" s="25">
        <f>N3+12*L3</f>
        <v>7996.799999999998</v>
      </c>
      <c r="P3" s="25">
        <f>12*IF(C3&lt;Inputs!$B$6,1.61%*C3,1.61%*Inputs!$B$6)</f>
        <v>1545.6000000000001</v>
      </c>
    </row>
    <row r="4" spans="1:16" ht="14.25">
      <c r="A4" s="25">
        <f>IF(A3&gt;=Inputs!$B$18,"",A3+1)</f>
        <v>26</v>
      </c>
      <c r="B4" s="11">
        <f>IF(A3&gt;=Inputs!$B$18,NA(),B3+1)</f>
        <v>26</v>
      </c>
      <c r="C4" s="26">
        <f>IF(A3&gt;=Inputs!$B$18,"",C3*(1+Inputs!$B$17))</f>
        <v>8240</v>
      </c>
      <c r="D4" s="26">
        <f>IF(B4&gt;Inputs!$B$19,0,IF(C4&lt;Inputs!$B$6,(C4*Inputs!$B$7),IF(Inputs!$B$15=Inputs!$B$12,(C4*Inputs!$B$7),IF(Inputs!$B$15=Inputs!$B$13,(C4*Inputs!$B$7),IF(Inputs!$B$15=Inputs!$B$14,(Inputs!$B$6*Inputs!$B$7),0)))))</f>
        <v>988.8</v>
      </c>
      <c r="E4" s="26">
        <f>IF(B4&gt;Inputs!$B$19,0,IF(C4&lt;Inputs!$B$6,(C4*Inputs!$B$8),IF(Inputs!$B$15=Inputs!$B$12,(C4*Inputs!$B$7)-(Inputs!$B$6*(Inputs!$B$7-Inputs!$B$8)),IF(Inputs!$B$15=Inputs!$B$13,(Inputs!$B$6*Inputs!$B$8),IF(Inputs!$B$15=Inputs!$B$14,(Inputs!$B$6*Inputs!$B$8),0)))))</f>
        <v>302.408</v>
      </c>
      <c r="F4" s="25">
        <f>IF(B4&gt;Inputs!$B$19,0,IF(C4&lt;Inputs!$B$6,(C4*Inputs!$B$7)+(C4*Inputs!$B$8),IF(Inputs!$B$15=Inputs!$B$12,(C4*Inputs!$B$7)+(C4*Inputs!$B$7)-(Inputs!$B$6*(Inputs!$B$7-Inputs!$B$8)),IF(Inputs!$B$15=Inputs!$B$13,(C4*Inputs!$B$7)+(Inputs!$B$6*Inputs!$B$8),IF(Inputs!$B$15=Inputs!$B$14,(Inputs!$B$6*Inputs!$B$7)+(Inputs!$B$6*Inputs!$B$8),0)))))</f>
        <v>1291.208</v>
      </c>
      <c r="G4" s="25">
        <f>IF(A3&gt;=Inputs!$B$18,"",H3)</f>
        <v>16367.0016</v>
      </c>
      <c r="H4" s="25">
        <f>IF(A3&gt;=Inputs!$B$18,"",(H3+12*F4)*(1+Inputs!$B$10))</f>
        <v>34665.30938880001</v>
      </c>
      <c r="I4" s="25">
        <f>IF(A3&gt;=Inputs!$B$18,"",J3)</f>
        <v>3833.2416000000007</v>
      </c>
      <c r="J4" s="36">
        <f>IF(A3&gt;=Inputs!$B$18,NA(),(J3+12*E4)*(1+Inputs!$B$10))</f>
        <v>8118.805708800001</v>
      </c>
      <c r="K4" s="25">
        <f>IF(A3&gt;=Inputs!$B$18,NA(),IF(B4&lt;57,H4-J4,IF(B4&lt;58,90%*H4,H4)))</f>
        <v>26546.503680000005</v>
      </c>
      <c r="L4" s="34">
        <f>IF(C4&lt;Inputs!$B$6,Inputs!$B$9*(Inputs!$B$7-Inputs!$B$8),Inputs!$B$6*(Inputs!$B$7-Inputs!$B$8))</f>
        <v>666.3999999999999</v>
      </c>
      <c r="M4" s="38">
        <f>IF(A3&gt;=Inputs!$B$18,NA(),K4/H4)</f>
        <v>0.7657945118059987</v>
      </c>
      <c r="N4" s="25">
        <f>IF(A3&gt;=Inputs!$B$18,"",O3)</f>
        <v>7996.799999999998</v>
      </c>
      <c r="O4" s="25">
        <f>IF(A3&gt;=Inputs!$B$18,"",O3+12*L4)</f>
        <v>15993.599999999997</v>
      </c>
      <c r="P4" s="25">
        <f>IF(A3&gt;=Inputs!$B$18,"",12*IF(C4&lt;Inputs!$B$6,1.61%*C4,1.61%*Inputs!$B$6))</f>
        <v>1591.9679999999998</v>
      </c>
    </row>
    <row r="5" spans="1:16" ht="14.25">
      <c r="A5" s="25">
        <f>IF(A4&gt;=Inputs!$B$18,"",A4+1)</f>
        <v>27</v>
      </c>
      <c r="B5" s="11">
        <f>IF(A4&gt;=Inputs!$B$18,NA(),B4+1)</f>
        <v>27</v>
      </c>
      <c r="C5" s="26">
        <f>IF(A4&gt;=Inputs!$B$18,"",C4*(1+Inputs!$B$17))</f>
        <v>8487.2</v>
      </c>
      <c r="D5" s="26">
        <f>IF(B5&gt;Inputs!$B$19,0,IF(C5&lt;Inputs!$B$6,(C5*Inputs!$B$7),IF(Inputs!$B$15=Inputs!$B$12,(C5*Inputs!$B$7),IF(Inputs!$B$15=Inputs!$B$13,(C5*Inputs!$B$7),IF(Inputs!$B$15=Inputs!$B$14,(Inputs!$B$6*Inputs!$B$7),0)))))</f>
        <v>1018.464</v>
      </c>
      <c r="E5" s="26">
        <f>IF(B5&gt;Inputs!$B$19,0,IF(C5&lt;Inputs!$B$6,(C5*Inputs!$B$8),IF(Inputs!$B$15=Inputs!$B$12,(C5*Inputs!$B$7)-(Inputs!$B$6*(Inputs!$B$7-Inputs!$B$8)),IF(Inputs!$B$15=Inputs!$B$13,(Inputs!$B$6*Inputs!$B$8),IF(Inputs!$B$15=Inputs!$B$14,(Inputs!$B$6*Inputs!$B$8),0)))))</f>
        <v>311.48024000000004</v>
      </c>
      <c r="F5" s="25">
        <f>IF(B5&gt;Inputs!$B$19,0,IF(C5&lt;Inputs!$B$6,(C5*Inputs!$B$7)+(C5*Inputs!$B$8),IF(Inputs!$B$15=Inputs!$B$12,(C5*Inputs!$B$7)+(C5*Inputs!$B$7)-(Inputs!$B$6*(Inputs!$B$7-Inputs!$B$8)),IF(Inputs!$B$15=Inputs!$B$13,(C5*Inputs!$B$7)+(Inputs!$B$6*Inputs!$B$8),IF(Inputs!$B$15=Inputs!$B$14,(Inputs!$B$6*Inputs!$B$7)+(Inputs!$B$6*Inputs!$B$8),0)))))</f>
        <v>1329.94424</v>
      </c>
      <c r="G5" s="25">
        <f>IF(A4&gt;=Inputs!$B$18,"",H4)</f>
        <v>34665.30938880001</v>
      </c>
      <c r="H5" s="25">
        <f>IF(A4&gt;=Inputs!$B$18,"",(H4+12*F5)*(1+Inputs!$B$10))</f>
        <v>55079.608612454416</v>
      </c>
      <c r="I5" s="25">
        <f>IF(A4&gt;=Inputs!$B$18,"",J4)</f>
        <v>8118.805708800001</v>
      </c>
      <c r="J5" s="36">
        <f>IF(A4&gt;=Inputs!$B$18,NA(),(J4+12*E5)*(1+Inputs!$B$10))</f>
        <v>12899.946624614402</v>
      </c>
      <c r="K5" s="25">
        <f>IF(A4&gt;=Inputs!$B$18,NA(),IF(B5&lt;57,H5-J5,IF(B5&lt;58,90%*H5,H5)))</f>
        <v>42179.661987840016</v>
      </c>
      <c r="L5" s="34">
        <f>IF(C5&lt;Inputs!$B$6,Inputs!$B$9*(Inputs!$B$7-Inputs!$B$8),Inputs!$B$6*(Inputs!$B$7-Inputs!$B$8))</f>
        <v>666.3999999999999</v>
      </c>
      <c r="M5" s="38">
        <f>IF(A4&gt;=Inputs!$B$18,NA(),K5/H5)</f>
        <v>0.7657945118059988</v>
      </c>
      <c r="N5" s="25">
        <f>IF(A4&gt;=Inputs!$B$18,"",O4)</f>
        <v>15993.599999999997</v>
      </c>
      <c r="O5" s="25">
        <f>IF(A4&gt;=Inputs!$B$18,"",O4+12*L5)</f>
        <v>23990.399999999994</v>
      </c>
      <c r="P5" s="25">
        <f>IF(A4&gt;=Inputs!$B$18,"",12*IF(C5&lt;Inputs!$B$6,1.61%*C5,1.61%*Inputs!$B$6))</f>
        <v>1639.7270400000002</v>
      </c>
    </row>
    <row r="6" spans="1:16" ht="14.25">
      <c r="A6" s="25">
        <f>IF(A5&gt;=Inputs!$B$18,"",A5+1)</f>
        <v>28</v>
      </c>
      <c r="B6" s="11">
        <f>IF(A5&gt;=Inputs!$B$18,NA(),B5+1)</f>
        <v>28</v>
      </c>
      <c r="C6" s="26">
        <f>IF(A5&gt;=Inputs!$B$18,"",C5*(1+Inputs!$B$17))</f>
        <v>8741.816</v>
      </c>
      <c r="D6" s="26">
        <f>IF(B6&gt;Inputs!$B$19,0,IF(C6&lt;Inputs!$B$6,(C6*Inputs!$B$7),IF(Inputs!$B$15=Inputs!$B$12,(C6*Inputs!$B$7),IF(Inputs!$B$15=Inputs!$B$13,(C6*Inputs!$B$7),IF(Inputs!$B$15=Inputs!$B$14,(Inputs!$B$6*Inputs!$B$7),0)))))</f>
        <v>1049.01792</v>
      </c>
      <c r="E6" s="26">
        <f>IF(B6&gt;Inputs!$B$19,0,IF(C6&lt;Inputs!$B$6,(C6*Inputs!$B$8),IF(Inputs!$B$15=Inputs!$B$12,(C6*Inputs!$B$7)-(Inputs!$B$6*(Inputs!$B$7-Inputs!$B$8)),IF(Inputs!$B$15=Inputs!$B$13,(Inputs!$B$6*Inputs!$B$8),IF(Inputs!$B$15=Inputs!$B$14,(Inputs!$B$6*Inputs!$B$8),0)))))</f>
        <v>320.8246472000001</v>
      </c>
      <c r="F6" s="25">
        <f>IF(B6&gt;Inputs!$B$19,0,IF(C6&lt;Inputs!$B$6,(C6*Inputs!$B$7)+(C6*Inputs!$B$8),IF(Inputs!$B$15=Inputs!$B$12,(C6*Inputs!$B$7)+(C6*Inputs!$B$7)-(Inputs!$B$6*(Inputs!$B$7-Inputs!$B$8)),IF(Inputs!$B$15=Inputs!$B$13,(C6*Inputs!$B$7)+(Inputs!$B$6*Inputs!$B$8),IF(Inputs!$B$15=Inputs!$B$14,(Inputs!$B$6*Inputs!$B$7)+(Inputs!$B$6*Inputs!$B$8),0)))))</f>
        <v>1369.8425672</v>
      </c>
      <c r="G6" s="25">
        <f>IF(A5&gt;=Inputs!$B$18,"",H5)</f>
        <v>55079.608612454416</v>
      </c>
      <c r="H6" s="25">
        <f>IF(A5&gt;=Inputs!$B$18,"",(H5+12*F6)*(1+Inputs!$B$10))</f>
        <v>77811.27872771362</v>
      </c>
      <c r="I6" s="25">
        <f>IF(A5&gt;=Inputs!$B$18,"",J5)</f>
        <v>12899.946624614402</v>
      </c>
      <c r="J6" s="36">
        <f>IF(A5&gt;=Inputs!$B$18,NA(),(J5+12*E6)*(1+Inputs!$B$10))</f>
        <v>18223.828521423675</v>
      </c>
      <c r="K6" s="25">
        <f>IF(A5&gt;=Inputs!$B$18,NA(),IF(B6&lt;57,H6-J6,IF(B6&lt;58,90%*H6,H6)))</f>
        <v>59587.45020628995</v>
      </c>
      <c r="L6" s="34">
        <f>IF(C6&lt;Inputs!$B$6,Inputs!$B$9*(Inputs!$B$7-Inputs!$B$8),Inputs!$B$6*(Inputs!$B$7-Inputs!$B$8))</f>
        <v>666.3999999999999</v>
      </c>
      <c r="M6" s="38">
        <f>IF(A5&gt;=Inputs!$B$18,NA(),K6/H6)</f>
        <v>0.7657945118059988</v>
      </c>
      <c r="N6" s="25">
        <f>IF(A5&gt;=Inputs!$B$18,"",O5)</f>
        <v>23990.399999999994</v>
      </c>
      <c r="O6" s="25">
        <f>IF(A5&gt;=Inputs!$B$18,"",O5+12*L6)</f>
        <v>31987.199999999993</v>
      </c>
      <c r="P6" s="25">
        <f>IF(A5&gt;=Inputs!$B$18,"",12*IF(C6&lt;Inputs!$B$6,1.61%*C6,1.61%*Inputs!$B$6))</f>
        <v>1688.9188512</v>
      </c>
    </row>
    <row r="7" spans="1:16" ht="14.25">
      <c r="A7" s="25">
        <f>IF(A6&gt;=Inputs!$B$18,"",A6+1)</f>
        <v>29</v>
      </c>
      <c r="B7" s="11">
        <f>IF(A6&gt;=Inputs!$B$18,NA(),B6+1)</f>
        <v>29</v>
      </c>
      <c r="C7" s="26">
        <f>IF(A6&gt;=Inputs!$B$18,"",C6*(1+Inputs!$B$17))</f>
        <v>9004.07048</v>
      </c>
      <c r="D7" s="26">
        <f>IF(B7&gt;Inputs!$B$19,0,IF(C7&lt;Inputs!$B$6,(C7*Inputs!$B$7),IF(Inputs!$B$15=Inputs!$B$12,(C7*Inputs!$B$7),IF(Inputs!$B$15=Inputs!$B$13,(C7*Inputs!$B$7),IF(Inputs!$B$15=Inputs!$B$14,(Inputs!$B$6*Inputs!$B$7),0)))))</f>
        <v>1080.4884576</v>
      </c>
      <c r="E7" s="26">
        <f>IF(B7&gt;Inputs!$B$19,0,IF(C7&lt;Inputs!$B$6,(C7*Inputs!$B$8),IF(Inputs!$B$15=Inputs!$B$12,(C7*Inputs!$B$7)-(Inputs!$B$6*(Inputs!$B$7-Inputs!$B$8)),IF(Inputs!$B$15=Inputs!$B$13,(Inputs!$B$6*Inputs!$B$8),IF(Inputs!$B$15=Inputs!$B$14,(Inputs!$B$6*Inputs!$B$8),0)))))</f>
        <v>330.449386616</v>
      </c>
      <c r="F7" s="25">
        <f>IF(B7&gt;Inputs!$B$19,0,IF(C7&lt;Inputs!$B$6,(C7*Inputs!$B$7)+(C7*Inputs!$B$8),IF(Inputs!$B$15=Inputs!$B$12,(C7*Inputs!$B$7)+(C7*Inputs!$B$7)-(Inputs!$B$6*(Inputs!$B$7-Inputs!$B$8)),IF(Inputs!$B$15=Inputs!$B$13,(C7*Inputs!$B$7)+(Inputs!$B$6*Inputs!$B$8),IF(Inputs!$B$15=Inputs!$B$14,(Inputs!$B$6*Inputs!$B$7)+(Inputs!$B$6*Inputs!$B$8),0)))))</f>
        <v>1410.937844216</v>
      </c>
      <c r="G7" s="25">
        <f>IF(A6&gt;=Inputs!$B$18,"",H6)</f>
        <v>77811.27872771362</v>
      </c>
      <c r="H7" s="25">
        <f>IF(A6&gt;=Inputs!$B$18,"",(H6+12*F7)*(1+Inputs!$B$10))</f>
        <v>103079.87574983653</v>
      </c>
      <c r="I7" s="25">
        <f>IF(A6&gt;=Inputs!$B$18,"",J6)</f>
        <v>18223.828521423675</v>
      </c>
      <c r="J7" s="36">
        <f>IF(A6&gt;=Inputs!$B$18,NA(),(J6+12*E7)*(1+Inputs!$B$10))</f>
        <v>24141.872622967458</v>
      </c>
      <c r="K7" s="25">
        <f>IF(A6&gt;=Inputs!$B$18,NA(),IF(B7&lt;57,H7-J7,IF(B7&lt;58,90%*H7,H7)))</f>
        <v>78938.00312686907</v>
      </c>
      <c r="L7" s="34">
        <f>IF(C7&lt;Inputs!$B$6,Inputs!$B$9*(Inputs!$B$7-Inputs!$B$8),Inputs!$B$6*(Inputs!$B$7-Inputs!$B$8))</f>
        <v>666.3999999999999</v>
      </c>
      <c r="M7" s="38">
        <f>IF(A6&gt;=Inputs!$B$18,NA(),K7/H7)</f>
        <v>0.7657945118059987</v>
      </c>
      <c r="N7" s="25">
        <f>IF(A6&gt;=Inputs!$B$18,"",O6)</f>
        <v>31987.199999999993</v>
      </c>
      <c r="O7" s="25">
        <f>IF(A6&gt;=Inputs!$B$18,"",O6+12*L7)</f>
        <v>39983.99999999999</v>
      </c>
      <c r="P7" s="25">
        <f>IF(A6&gt;=Inputs!$B$18,"",12*IF(C7&lt;Inputs!$B$6,1.61%*C7,1.61%*Inputs!$B$6))</f>
        <v>1739.586416736</v>
      </c>
    </row>
    <row r="8" spans="1:16" ht="14.25">
      <c r="A8" s="25">
        <f>IF(A7&gt;=Inputs!$B$18,"",A7+1)</f>
        <v>30</v>
      </c>
      <c r="B8" s="11">
        <f>IF(A7&gt;=Inputs!$B$18,NA(),B7+1)</f>
        <v>30</v>
      </c>
      <c r="C8" s="26">
        <f>IF(A7&gt;=Inputs!$B$18,"",C7*(1+Inputs!$B$17))</f>
        <v>9274.192594400001</v>
      </c>
      <c r="D8" s="26">
        <f>IF(B8&gt;Inputs!$B$19,0,IF(C8&lt;Inputs!$B$6,(C8*Inputs!$B$7),IF(Inputs!$B$15=Inputs!$B$12,(C8*Inputs!$B$7),IF(Inputs!$B$15=Inputs!$B$13,(C8*Inputs!$B$7),IF(Inputs!$B$15=Inputs!$B$14,(Inputs!$B$6*Inputs!$B$7),0)))))</f>
        <v>1112.903111328</v>
      </c>
      <c r="E8" s="26">
        <f>IF(B8&gt;Inputs!$B$19,0,IF(C8&lt;Inputs!$B$6,(C8*Inputs!$B$8),IF(Inputs!$B$15=Inputs!$B$12,(C8*Inputs!$B$7)-(Inputs!$B$6*(Inputs!$B$7-Inputs!$B$8)),IF(Inputs!$B$15=Inputs!$B$13,(Inputs!$B$6*Inputs!$B$8),IF(Inputs!$B$15=Inputs!$B$14,(Inputs!$B$6*Inputs!$B$8),0)))))</f>
        <v>340.3628682144801</v>
      </c>
      <c r="F8" s="25">
        <f>IF(B8&gt;Inputs!$B$19,0,IF(C8&lt;Inputs!$B$6,(C8*Inputs!$B$7)+(C8*Inputs!$B$8),IF(Inputs!$B$15=Inputs!$B$12,(C8*Inputs!$B$7)+(C8*Inputs!$B$7)-(Inputs!$B$6*(Inputs!$B$7-Inputs!$B$8)),IF(Inputs!$B$15=Inputs!$B$13,(C8*Inputs!$B$7)+(Inputs!$B$6*Inputs!$B$8),IF(Inputs!$B$15=Inputs!$B$14,(Inputs!$B$6*Inputs!$B$7)+(Inputs!$B$6*Inputs!$B$8),0)))))</f>
        <v>1453.2659795424802</v>
      </c>
      <c r="G8" s="25">
        <f>IF(A7&gt;=Inputs!$B$18,"",H7)</f>
        <v>103079.87574983653</v>
      </c>
      <c r="H8" s="25">
        <f>IF(A7&gt;=Inputs!$B$18,"",(H7+12*F8)*(1+Inputs!$B$10))</f>
        <v>131124.74544472876</v>
      </c>
      <c r="I8" s="25">
        <f>IF(A7&gt;=Inputs!$B$18,"",J7)</f>
        <v>24141.872622967458</v>
      </c>
      <c r="J8" s="36">
        <f>IF(A7&gt;=Inputs!$B$18,NA(),(J7+12*E8)*(1+Inputs!$B$10))</f>
        <v>30710.13502119685</v>
      </c>
      <c r="K8" s="25">
        <f>IF(A7&gt;=Inputs!$B$18,NA(),IF(B8&lt;57,H8-J8,IF(B8&lt;58,90%*H8,H8)))</f>
        <v>100414.6104235319</v>
      </c>
      <c r="L8" s="34">
        <f>IF(C8&lt;Inputs!$B$6,Inputs!$B$9*(Inputs!$B$7-Inputs!$B$8),Inputs!$B$6*(Inputs!$B$7-Inputs!$B$8))</f>
        <v>666.3999999999999</v>
      </c>
      <c r="M8" s="38">
        <f>IF(A7&gt;=Inputs!$B$18,NA(),K8/H8)</f>
        <v>0.7657945118059987</v>
      </c>
      <c r="N8" s="25">
        <f>IF(A7&gt;=Inputs!$B$18,"",O7)</f>
        <v>39983.99999999999</v>
      </c>
      <c r="O8" s="25">
        <f>IF(A7&gt;=Inputs!$B$18,"",O7+12*L8)</f>
        <v>47980.79999999999</v>
      </c>
      <c r="P8" s="25">
        <f>IF(A7&gt;=Inputs!$B$18,"",12*IF(C8&lt;Inputs!$B$6,1.61%*C8,1.61%*Inputs!$B$6))</f>
        <v>1791.77400923808</v>
      </c>
    </row>
    <row r="9" spans="1:16" ht="14.25">
      <c r="A9" s="25">
        <f>IF(A8&gt;=Inputs!$B$18,"",A8+1)</f>
        <v>31</v>
      </c>
      <c r="B9" s="11">
        <f>IF(A8&gt;=Inputs!$B$18,NA(),B8+1)</f>
        <v>31</v>
      </c>
      <c r="C9" s="26">
        <f>IF(A8&gt;=Inputs!$B$18,"",C8*(1+Inputs!$B$17))</f>
        <v>9552.418372232001</v>
      </c>
      <c r="D9" s="26">
        <f>IF(B9&gt;Inputs!$B$19,0,IF(C9&lt;Inputs!$B$6,(C9*Inputs!$B$7),IF(Inputs!$B$15=Inputs!$B$12,(C9*Inputs!$B$7),IF(Inputs!$B$15=Inputs!$B$13,(C9*Inputs!$B$7),IF(Inputs!$B$15=Inputs!$B$14,(Inputs!$B$6*Inputs!$B$7),0)))))</f>
        <v>1146.29020466784</v>
      </c>
      <c r="E9" s="26">
        <f>IF(B9&gt;Inputs!$B$19,0,IF(C9&lt;Inputs!$B$6,(C9*Inputs!$B$8),IF(Inputs!$B$15=Inputs!$B$12,(C9*Inputs!$B$7)-(Inputs!$B$6*(Inputs!$B$7-Inputs!$B$8)),IF(Inputs!$B$15=Inputs!$B$13,(Inputs!$B$6*Inputs!$B$8),IF(Inputs!$B$15=Inputs!$B$14,(Inputs!$B$6*Inputs!$B$8),0)))))</f>
        <v>350.5737542609145</v>
      </c>
      <c r="F9" s="25">
        <f>IF(B9&gt;Inputs!$B$19,0,IF(C9&lt;Inputs!$B$6,(C9*Inputs!$B$7)+(C9*Inputs!$B$8),IF(Inputs!$B$15=Inputs!$B$12,(C9*Inputs!$B$7)+(C9*Inputs!$B$7)-(Inputs!$B$6*(Inputs!$B$7-Inputs!$B$8)),IF(Inputs!$B$15=Inputs!$B$13,(C9*Inputs!$B$7)+(Inputs!$B$6*Inputs!$B$8),IF(Inputs!$B$15=Inputs!$B$14,(Inputs!$B$6*Inputs!$B$7)+(Inputs!$B$6*Inputs!$B$8),0)))))</f>
        <v>1496.8639589287545</v>
      </c>
      <c r="G9" s="25">
        <f>IF(A8&gt;=Inputs!$B$18,"",H8)</f>
        <v>131124.74544472876</v>
      </c>
      <c r="H9" s="25">
        <f>IF(A8&gt;=Inputs!$B$18,"",(H8+12*F9)*(1+Inputs!$B$10))</f>
        <v>162206.7788916387</v>
      </c>
      <c r="I9" s="25">
        <f>IF(A8&gt;=Inputs!$B$18,"",J8)</f>
        <v>30710.13502119685</v>
      </c>
      <c r="J9" s="36">
        <f>IF(A8&gt;=Inputs!$B$18,NA(),(J8+12*E9)*(1+Inputs!$B$10))</f>
        <v>37989.717838692675</v>
      </c>
      <c r="K9" s="25">
        <f>IF(A8&gt;=Inputs!$B$18,NA(),IF(B9&lt;57,H9-J9,IF(B9&lt;58,90%*H9,H9)))</f>
        <v>124217.06105294602</v>
      </c>
      <c r="L9" s="34">
        <f>IF(C9&lt;Inputs!$B$6,Inputs!$B$9*(Inputs!$B$7-Inputs!$B$8),Inputs!$B$6*(Inputs!$B$7-Inputs!$B$8))</f>
        <v>666.3999999999999</v>
      </c>
      <c r="M9" s="38">
        <f>IF(A8&gt;=Inputs!$B$18,NA(),K9/H9)</f>
        <v>0.7657945118059987</v>
      </c>
      <c r="N9" s="25">
        <f>IF(A8&gt;=Inputs!$B$18,"",O8)</f>
        <v>47980.79999999999</v>
      </c>
      <c r="O9" s="25">
        <f>IF(A8&gt;=Inputs!$B$18,"",O8+12*L9)</f>
        <v>55977.599999999984</v>
      </c>
      <c r="P9" s="25">
        <f>IF(A8&gt;=Inputs!$B$18,"",12*IF(C9&lt;Inputs!$B$6,1.61%*C9,1.61%*Inputs!$B$6))</f>
        <v>1845.5272295152226</v>
      </c>
    </row>
    <row r="10" spans="1:16" ht="14.25">
      <c r="A10" s="25">
        <f>IF(A9&gt;=Inputs!$B$18,"",A9+1)</f>
        <v>32</v>
      </c>
      <c r="B10" s="11">
        <f>IF(A9&gt;=Inputs!$B$18,NA(),B9+1)</f>
        <v>32</v>
      </c>
      <c r="C10" s="26">
        <f>IF(A9&gt;=Inputs!$B$18,"",C9*(1+Inputs!$B$17))</f>
        <v>9838.990923398962</v>
      </c>
      <c r="D10" s="26">
        <f>IF(B10&gt;Inputs!$B$19,0,IF(C10&lt;Inputs!$B$6,(C10*Inputs!$B$7),IF(Inputs!$B$15=Inputs!$B$12,(C10*Inputs!$B$7),IF(Inputs!$B$15=Inputs!$B$13,(C10*Inputs!$B$7),IF(Inputs!$B$15=Inputs!$B$14,(Inputs!$B$6*Inputs!$B$7),0)))))</f>
        <v>1180.6789108078754</v>
      </c>
      <c r="E10" s="26">
        <f>IF(B10&gt;Inputs!$B$19,0,IF(C10&lt;Inputs!$B$6,(C10*Inputs!$B$8),IF(Inputs!$B$15=Inputs!$B$12,(C10*Inputs!$B$7)-(Inputs!$B$6*(Inputs!$B$7-Inputs!$B$8)),IF(Inputs!$B$15=Inputs!$B$13,(Inputs!$B$6*Inputs!$B$8),IF(Inputs!$B$15=Inputs!$B$14,(Inputs!$B$6*Inputs!$B$8),0)))))</f>
        <v>361.09096688874195</v>
      </c>
      <c r="F10" s="25">
        <f>IF(B10&gt;Inputs!$B$19,0,IF(C10&lt;Inputs!$B$6,(C10*Inputs!$B$7)+(C10*Inputs!$B$8),IF(Inputs!$B$15=Inputs!$B$12,(C10*Inputs!$B$7)+(C10*Inputs!$B$7)-(Inputs!$B$6*(Inputs!$B$7-Inputs!$B$8)),IF(Inputs!$B$15=Inputs!$B$13,(C10*Inputs!$B$7)+(Inputs!$B$6*Inputs!$B$8),IF(Inputs!$B$15=Inputs!$B$14,(Inputs!$B$6*Inputs!$B$7)+(Inputs!$B$6*Inputs!$B$8),0)))))</f>
        <v>1541.7698776966172</v>
      </c>
      <c r="G10" s="25">
        <f>IF(A9&gt;=Inputs!$B$18,"",H9)</f>
        <v>162206.7788916387</v>
      </c>
      <c r="H10" s="25">
        <f>IF(A9&gt;=Inputs!$B$18,"",(H9+12*F10)*(1+Inputs!$B$10))</f>
        <v>196610.32295730995</v>
      </c>
      <c r="I10" s="25">
        <f>IF(A9&gt;=Inputs!$B$18,"",J9)</f>
        <v>37989.717838692675</v>
      </c>
      <c r="J10" s="36">
        <f>IF(A9&gt;=Inputs!$B$18,NA(),(J9+12*E10)*(1+Inputs!$B$10))</f>
        <v>46047.21667219704</v>
      </c>
      <c r="K10" s="25">
        <f>IF(A9&gt;=Inputs!$B$18,NA(),IF(B10&lt;57,H10-J10,IF(B10&lt;58,90%*H10,H10)))</f>
        <v>150563.1062851129</v>
      </c>
      <c r="L10" s="34">
        <f>IF(C10&lt;Inputs!$B$6,Inputs!$B$9*(Inputs!$B$7-Inputs!$B$8),Inputs!$B$6*(Inputs!$B$7-Inputs!$B$8))</f>
        <v>666.3999999999999</v>
      </c>
      <c r="M10" s="38">
        <f>IF(A9&gt;=Inputs!$B$18,NA(),K10/H10)</f>
        <v>0.7657945118059987</v>
      </c>
      <c r="N10" s="25">
        <f>IF(A9&gt;=Inputs!$B$18,"",O9)</f>
        <v>55977.599999999984</v>
      </c>
      <c r="O10" s="25">
        <f>IF(A9&gt;=Inputs!$B$18,"",O9+12*L10)</f>
        <v>63974.39999999998</v>
      </c>
      <c r="P10" s="25">
        <f>IF(A9&gt;=Inputs!$B$18,"",12*IF(C10&lt;Inputs!$B$6,1.61%*C10,1.61%*Inputs!$B$6))</f>
        <v>1900.8930464006794</v>
      </c>
    </row>
    <row r="11" spans="1:16" ht="14.25">
      <c r="A11" s="25">
        <f>IF(A10&gt;=Inputs!$B$18,"",A10+1)</f>
        <v>33</v>
      </c>
      <c r="B11" s="11">
        <f>IF(A10&gt;=Inputs!$B$18,NA(),B10+1)</f>
        <v>33</v>
      </c>
      <c r="C11" s="26">
        <f>IF(A10&gt;=Inputs!$B$18,"",C10*(1+Inputs!$B$17))</f>
        <v>10134.16065110093</v>
      </c>
      <c r="D11" s="26">
        <f>IF(B11&gt;Inputs!$B$19,0,IF(C11&lt;Inputs!$B$6,(C11*Inputs!$B$7),IF(Inputs!$B$15=Inputs!$B$12,(C11*Inputs!$B$7),IF(Inputs!$B$15=Inputs!$B$13,(C11*Inputs!$B$7),IF(Inputs!$B$15=Inputs!$B$14,(Inputs!$B$6*Inputs!$B$7),0)))))</f>
        <v>1216.0992781321115</v>
      </c>
      <c r="E11" s="26">
        <f>IF(B11&gt;Inputs!$B$19,0,IF(C11&lt;Inputs!$B$6,(C11*Inputs!$B$8),IF(Inputs!$B$15=Inputs!$B$12,(C11*Inputs!$B$7)-(Inputs!$B$6*(Inputs!$B$7-Inputs!$B$8)),IF(Inputs!$B$15=Inputs!$B$13,(Inputs!$B$6*Inputs!$B$8),IF(Inputs!$B$15=Inputs!$B$14,(Inputs!$B$6*Inputs!$B$8),0)))))</f>
        <v>371.9236958954042</v>
      </c>
      <c r="F11" s="25">
        <f>IF(B11&gt;Inputs!$B$19,0,IF(C11&lt;Inputs!$B$6,(C11*Inputs!$B$7)+(C11*Inputs!$B$8),IF(Inputs!$B$15=Inputs!$B$12,(C11*Inputs!$B$7)+(C11*Inputs!$B$7)-(Inputs!$B$6*(Inputs!$B$7-Inputs!$B$8)),IF(Inputs!$B$15=Inputs!$B$13,(C11*Inputs!$B$7)+(Inputs!$B$6*Inputs!$B$8),IF(Inputs!$B$15=Inputs!$B$14,(Inputs!$B$6*Inputs!$B$7)+(Inputs!$B$6*Inputs!$B$8),0)))))</f>
        <v>1588.0229740275158</v>
      </c>
      <c r="G11" s="25">
        <f>IF(A10&gt;=Inputs!$B$18,"",H10)</f>
        <v>196610.32295730995</v>
      </c>
      <c r="H11" s="25">
        <f>IF(A10&gt;=Inputs!$B$18,"",(H10+12*F11)*(1+Inputs!$B$10))</f>
        <v>234645.25932645646</v>
      </c>
      <c r="I11" s="25">
        <f>IF(A10&gt;=Inputs!$B$18,"",J10)</f>
        <v>46047.21667219704</v>
      </c>
      <c r="J11" s="36">
        <f>IF(A10&gt;=Inputs!$B$18,NA(),(J10+12*E11)*(1+Inputs!$B$10))</f>
        <v>54955.207512960784</v>
      </c>
      <c r="K11" s="25">
        <f>IF(A10&gt;=Inputs!$B$18,NA(),IF(B11&lt;57,H11-J11,IF(B11&lt;58,90%*H11,H11)))</f>
        <v>179690.0518134957</v>
      </c>
      <c r="L11" s="34">
        <f>IF(C11&lt;Inputs!$B$6,Inputs!$B$9*(Inputs!$B$7-Inputs!$B$8),Inputs!$B$6*(Inputs!$B$7-Inputs!$B$8))</f>
        <v>666.3999999999999</v>
      </c>
      <c r="M11" s="38">
        <f>IF(A10&gt;=Inputs!$B$18,NA(),K11/H11)</f>
        <v>0.7657945118059987</v>
      </c>
      <c r="N11" s="25">
        <f>IF(A10&gt;=Inputs!$B$18,"",O10)</f>
        <v>63974.39999999998</v>
      </c>
      <c r="O11" s="25">
        <f>IF(A10&gt;=Inputs!$B$18,"",O10+12*L11)</f>
        <v>71971.19999999998</v>
      </c>
      <c r="P11" s="25">
        <f>IF(A10&gt;=Inputs!$B$18,"",12*IF(C11&lt;Inputs!$B$6,1.61%*C11,1.61%*Inputs!$B$6))</f>
        <v>1957.9198377926996</v>
      </c>
    </row>
    <row r="12" spans="1:16" ht="14.25">
      <c r="A12" s="25">
        <f>IF(A11&gt;=Inputs!$B$18,"",A11+1)</f>
        <v>34</v>
      </c>
      <c r="B12" s="11">
        <f>IF(A11&gt;=Inputs!$B$18,NA(),B11+1)</f>
        <v>34</v>
      </c>
      <c r="C12" s="26">
        <f>IF(A11&gt;=Inputs!$B$18,"",C11*(1+Inputs!$B$17))</f>
        <v>10438.185470633958</v>
      </c>
      <c r="D12" s="26">
        <f>IF(B12&gt;Inputs!$B$19,0,IF(C12&lt;Inputs!$B$6,(C12*Inputs!$B$7),IF(Inputs!$B$15=Inputs!$B$12,(C12*Inputs!$B$7),IF(Inputs!$B$15=Inputs!$B$13,(C12*Inputs!$B$7),IF(Inputs!$B$15=Inputs!$B$14,(Inputs!$B$6*Inputs!$B$7),0)))))</f>
        <v>1252.582256476075</v>
      </c>
      <c r="E12" s="26">
        <f>IF(B12&gt;Inputs!$B$19,0,IF(C12&lt;Inputs!$B$6,(C12*Inputs!$B$8),IF(Inputs!$B$15=Inputs!$B$12,(C12*Inputs!$B$7)-(Inputs!$B$6*(Inputs!$B$7-Inputs!$B$8)),IF(Inputs!$B$15=Inputs!$B$13,(Inputs!$B$6*Inputs!$B$8),IF(Inputs!$B$15=Inputs!$B$14,(Inputs!$B$6*Inputs!$B$8),0)))))</f>
        <v>383.0814067722663</v>
      </c>
      <c r="F12" s="25">
        <f>IF(B12&gt;Inputs!$B$19,0,IF(C12&lt;Inputs!$B$6,(C12*Inputs!$B$7)+(C12*Inputs!$B$8),IF(Inputs!$B$15=Inputs!$B$12,(C12*Inputs!$B$7)+(C12*Inputs!$B$7)-(Inputs!$B$6*(Inputs!$B$7-Inputs!$B$8)),IF(Inputs!$B$15=Inputs!$B$13,(C12*Inputs!$B$7)+(Inputs!$B$6*Inputs!$B$8),IF(Inputs!$B$15=Inputs!$B$14,(Inputs!$B$6*Inputs!$B$7)+(Inputs!$B$6*Inputs!$B$8),0)))))</f>
        <v>1635.6636632483412</v>
      </c>
      <c r="G12" s="25">
        <f>IF(A11&gt;=Inputs!$B$18,"",H11)</f>
        <v>234645.25932645646</v>
      </c>
      <c r="H12" s="25">
        <f>IF(A11&gt;=Inputs!$B$18,"",(H11+12*F12)*(1+Inputs!$B$10))</f>
        <v>276649.266934555</v>
      </c>
      <c r="I12" s="25">
        <f>IF(A11&gt;=Inputs!$B$18,"",J11)</f>
        <v>54955.207512960784</v>
      </c>
      <c r="J12" s="36">
        <f>IF(A11&gt;=Inputs!$B$18,NA(),(J11+12*E12)*(1+Inputs!$B$10))</f>
        <v>64792.77662092005</v>
      </c>
      <c r="K12" s="25">
        <f>IF(A11&gt;=Inputs!$B$18,NA(),IF(B12&lt;57,H12-J12,IF(B12&lt;58,90%*H12,H12)))</f>
        <v>211856.49031363497</v>
      </c>
      <c r="L12" s="34">
        <f>IF(C12&lt;Inputs!$B$6,Inputs!$B$9*(Inputs!$B$7-Inputs!$B$8),Inputs!$B$6*(Inputs!$B$7-Inputs!$B$8))</f>
        <v>666.3999999999999</v>
      </c>
      <c r="M12" s="38">
        <f>IF(A11&gt;=Inputs!$B$18,NA(),K12/H12)</f>
        <v>0.7657945118059987</v>
      </c>
      <c r="N12" s="25">
        <f>IF(A11&gt;=Inputs!$B$18,"",O11)</f>
        <v>71971.19999999998</v>
      </c>
      <c r="O12" s="25">
        <f>IF(A11&gt;=Inputs!$B$18,"",O11+12*L12)</f>
        <v>79967.99999999999</v>
      </c>
      <c r="P12" s="25">
        <f>IF(A11&gt;=Inputs!$B$18,"",12*IF(C12&lt;Inputs!$B$6,1.61%*C12,1.61%*Inputs!$B$6))</f>
        <v>2016.6574329264809</v>
      </c>
    </row>
    <row r="13" spans="1:16" ht="14.25">
      <c r="A13" s="25">
        <f>IF(A12&gt;=Inputs!$B$18,"",A12+1)</f>
        <v>35</v>
      </c>
      <c r="B13" s="11">
        <f>IF(A12&gt;=Inputs!$B$18,NA(),B12+1)</f>
        <v>35</v>
      </c>
      <c r="C13" s="26">
        <f>IF(A12&gt;=Inputs!$B$18,"",C12*(1+Inputs!$B$17))</f>
        <v>10751.331034752977</v>
      </c>
      <c r="D13" s="26">
        <f>IF(B13&gt;Inputs!$B$19,0,IF(C13&lt;Inputs!$B$6,(C13*Inputs!$B$7),IF(Inputs!$B$15=Inputs!$B$12,(C13*Inputs!$B$7),IF(Inputs!$B$15=Inputs!$B$13,(C13*Inputs!$B$7),IF(Inputs!$B$15=Inputs!$B$14,(Inputs!$B$6*Inputs!$B$7),0)))))</f>
        <v>1290.159724170357</v>
      </c>
      <c r="E13" s="26">
        <f>IF(B13&gt;Inputs!$B$19,0,IF(C13&lt;Inputs!$B$6,(C13*Inputs!$B$8),IF(Inputs!$B$15=Inputs!$B$12,(C13*Inputs!$B$7)-(Inputs!$B$6*(Inputs!$B$7-Inputs!$B$8)),IF(Inputs!$B$15=Inputs!$B$13,(Inputs!$B$6*Inputs!$B$8),IF(Inputs!$B$15=Inputs!$B$14,(Inputs!$B$6*Inputs!$B$8),0)))))</f>
        <v>394.57384897543426</v>
      </c>
      <c r="F13" s="25">
        <f>IF(B13&gt;Inputs!$B$19,0,IF(C13&lt;Inputs!$B$6,(C13*Inputs!$B$7)+(C13*Inputs!$B$8),IF(Inputs!$B$15=Inputs!$B$12,(C13*Inputs!$B$7)+(C13*Inputs!$B$7)-(Inputs!$B$6*(Inputs!$B$7-Inputs!$B$8)),IF(Inputs!$B$15=Inputs!$B$13,(C13*Inputs!$B$7)+(Inputs!$B$6*Inputs!$B$8),IF(Inputs!$B$15=Inputs!$B$14,(Inputs!$B$6*Inputs!$B$7)+(Inputs!$B$6*Inputs!$B$8),0)))))</f>
        <v>1684.7335731457913</v>
      </c>
      <c r="G13" s="25">
        <f>IF(A12&gt;=Inputs!$B$18,"",H12)</f>
        <v>276649.266934555</v>
      </c>
      <c r="H13" s="25">
        <f>IF(A12&gt;=Inputs!$B$18,"",(H12+12*F13)*(1+Inputs!$B$10))</f>
        <v>322990.2839557873</v>
      </c>
      <c r="I13" s="25">
        <f>IF(A12&gt;=Inputs!$B$18,"",J12)</f>
        <v>64792.77662092005</v>
      </c>
      <c r="J13" s="36">
        <f>IF(A12&gt;=Inputs!$B$18,NA(),(J12+12*E13)*(1+Inputs!$B$10))</f>
        <v>75646.0971357843</v>
      </c>
      <c r="K13" s="25">
        <f>IF(A12&gt;=Inputs!$B$18,NA(),IF(B13&lt;57,H13-J13,IF(B13&lt;58,90%*H13,H13)))</f>
        <v>247344.18682000303</v>
      </c>
      <c r="L13" s="34">
        <f>IF(C13&lt;Inputs!$B$6,Inputs!$B$9*(Inputs!$B$7-Inputs!$B$8),Inputs!$B$6*(Inputs!$B$7-Inputs!$B$8))</f>
        <v>666.3999999999999</v>
      </c>
      <c r="M13" s="38">
        <f>IF(A12&gt;=Inputs!$B$18,NA(),K13/H13)</f>
        <v>0.7657945118059987</v>
      </c>
      <c r="N13" s="25">
        <f>IF(A12&gt;=Inputs!$B$18,"",O12)</f>
        <v>79967.99999999999</v>
      </c>
      <c r="O13" s="25">
        <f>IF(A12&gt;=Inputs!$B$18,"",O12+12*L13)</f>
        <v>87964.79999999999</v>
      </c>
      <c r="P13" s="25">
        <f>IF(A12&gt;=Inputs!$B$18,"",12*IF(C13&lt;Inputs!$B$6,1.61%*C13,1.61%*Inputs!$B$6))</f>
        <v>2077.157155914275</v>
      </c>
    </row>
    <row r="14" spans="1:16" ht="14.25">
      <c r="A14" s="25">
        <f>IF(A13&gt;=Inputs!$B$18,"",A13+1)</f>
        <v>36</v>
      </c>
      <c r="B14" s="11">
        <f>IF(A13&gt;=Inputs!$B$18,NA(),B13+1)</f>
        <v>36</v>
      </c>
      <c r="C14" s="26">
        <f>IF(A13&gt;=Inputs!$B$18,"",C13*(1+Inputs!$B$17))</f>
        <v>11073.870965795566</v>
      </c>
      <c r="D14" s="26">
        <f>IF(B14&gt;Inputs!$B$19,0,IF(C14&lt;Inputs!$B$6,(C14*Inputs!$B$7),IF(Inputs!$B$15=Inputs!$B$12,(C14*Inputs!$B$7),IF(Inputs!$B$15=Inputs!$B$13,(C14*Inputs!$B$7),IF(Inputs!$B$15=Inputs!$B$14,(Inputs!$B$6*Inputs!$B$7),0)))))</f>
        <v>1328.8645158954678</v>
      </c>
      <c r="E14" s="26">
        <f>IF(B14&gt;Inputs!$B$19,0,IF(C14&lt;Inputs!$B$6,(C14*Inputs!$B$8),IF(Inputs!$B$15=Inputs!$B$12,(C14*Inputs!$B$7)-(Inputs!$B$6*(Inputs!$B$7-Inputs!$B$8)),IF(Inputs!$B$15=Inputs!$B$13,(Inputs!$B$6*Inputs!$B$8),IF(Inputs!$B$15=Inputs!$B$14,(Inputs!$B$6*Inputs!$B$8),0)))))</f>
        <v>406.41106444469733</v>
      </c>
      <c r="F14" s="25">
        <f>IF(B14&gt;Inputs!$B$19,0,IF(C14&lt;Inputs!$B$6,(C14*Inputs!$B$7)+(C14*Inputs!$B$8),IF(Inputs!$B$15=Inputs!$B$12,(C14*Inputs!$B$7)+(C14*Inputs!$B$7)-(Inputs!$B$6*(Inputs!$B$7-Inputs!$B$8)),IF(Inputs!$B$15=Inputs!$B$13,(C14*Inputs!$B$7)+(Inputs!$B$6*Inputs!$B$8),IF(Inputs!$B$15=Inputs!$B$14,(Inputs!$B$6*Inputs!$B$7)+(Inputs!$B$6*Inputs!$B$8),0)))))</f>
        <v>1735.275580340165</v>
      </c>
      <c r="G14" s="25">
        <f>IF(A13&gt;=Inputs!$B$18,"",H13)</f>
        <v>322990.2839557873</v>
      </c>
      <c r="H14" s="25">
        <f>IF(A13&gt;=Inputs!$B$18,"",(H13+12*F14)*(1+Inputs!$B$10))</f>
        <v>374069.1869208178</v>
      </c>
      <c r="I14" s="25">
        <f>IF(A13&gt;=Inputs!$B$18,"",J13)</f>
        <v>75646.0971357843</v>
      </c>
      <c r="J14" s="36">
        <f>IF(A13&gt;=Inputs!$B$18,NA(),(J13+12*E14)*(1+Inputs!$B$10))</f>
        <v>87609.0565411233</v>
      </c>
      <c r="K14" s="25">
        <f>IF(A13&gt;=Inputs!$B$18,NA(),IF(B14&lt;57,H14-J14,IF(B14&lt;58,90%*H14,H14)))</f>
        <v>286460.1303796945</v>
      </c>
      <c r="L14" s="34">
        <f>IF(C14&lt;Inputs!$B$6,Inputs!$B$9*(Inputs!$B$7-Inputs!$B$8),Inputs!$B$6*(Inputs!$B$7-Inputs!$B$8))</f>
        <v>666.3999999999999</v>
      </c>
      <c r="M14" s="38">
        <f>IF(A13&gt;=Inputs!$B$18,NA(),K14/H14)</f>
        <v>0.7657945118059986</v>
      </c>
      <c r="N14" s="25">
        <f>IF(A13&gt;=Inputs!$B$18,"",O13)</f>
        <v>87964.79999999999</v>
      </c>
      <c r="O14" s="25">
        <f>IF(A13&gt;=Inputs!$B$18,"",O13+12*L14)</f>
        <v>95961.59999999999</v>
      </c>
      <c r="P14" s="25">
        <f>IF(A13&gt;=Inputs!$B$18,"",12*IF(C14&lt;Inputs!$B$6,1.61%*C14,1.61%*Inputs!$B$6))</f>
        <v>2139.4718705917035</v>
      </c>
    </row>
    <row r="15" spans="1:16" ht="14.25">
      <c r="A15" s="25">
        <f>IF(A14&gt;=Inputs!$B$18,"",A14+1)</f>
        <v>37</v>
      </c>
      <c r="B15" s="11">
        <f>IF(A14&gt;=Inputs!$B$18,NA(),B14+1)</f>
        <v>37</v>
      </c>
      <c r="C15" s="26">
        <f>IF(A14&gt;=Inputs!$B$18,"",C14*(1+Inputs!$B$17))</f>
        <v>11406.087094769433</v>
      </c>
      <c r="D15" s="26">
        <f>IF(B15&gt;Inputs!$B$19,0,IF(C15&lt;Inputs!$B$6,(C15*Inputs!$B$7),IF(Inputs!$B$15=Inputs!$B$12,(C15*Inputs!$B$7),IF(Inputs!$B$15=Inputs!$B$13,(C15*Inputs!$B$7),IF(Inputs!$B$15=Inputs!$B$14,(Inputs!$B$6*Inputs!$B$7),0)))))</f>
        <v>1368.7304513723318</v>
      </c>
      <c r="E15" s="26">
        <f>IF(B15&gt;Inputs!$B$19,0,IF(C15&lt;Inputs!$B$6,(C15*Inputs!$B$8),IF(Inputs!$B$15=Inputs!$B$12,(C15*Inputs!$B$7)-(Inputs!$B$6*(Inputs!$B$7-Inputs!$B$8)),IF(Inputs!$B$15=Inputs!$B$13,(Inputs!$B$6*Inputs!$B$8),IF(Inputs!$B$15=Inputs!$B$14,(Inputs!$B$6*Inputs!$B$8),0)))))</f>
        <v>418.6033963780382</v>
      </c>
      <c r="F15" s="25">
        <f>IF(B15&gt;Inputs!$B$19,0,IF(C15&lt;Inputs!$B$6,(C15*Inputs!$B$7)+(C15*Inputs!$B$8),IF(Inputs!$B$15=Inputs!$B$12,(C15*Inputs!$B$7)+(C15*Inputs!$B$7)-(Inputs!$B$6*(Inputs!$B$7-Inputs!$B$8)),IF(Inputs!$B$15=Inputs!$B$13,(C15*Inputs!$B$7)+(Inputs!$B$6*Inputs!$B$8),IF(Inputs!$B$15=Inputs!$B$14,(Inputs!$B$6*Inputs!$B$7)+(Inputs!$B$6*Inputs!$B$8),0)))))</f>
        <v>1787.33384775037</v>
      </c>
      <c r="G15" s="25">
        <f>IF(A14&gt;=Inputs!$B$18,"",H14)</f>
        <v>374069.1869208178</v>
      </c>
      <c r="H15" s="25">
        <f>IF(A14&gt;=Inputs!$B$18,"",(H14+12*F15)*(1+Inputs!$B$10))</f>
        <v>430322.70608607866</v>
      </c>
      <c r="I15" s="25">
        <f>IF(A14&gt;=Inputs!$B$18,"",J14)</f>
        <v>87609.0565411233</v>
      </c>
      <c r="J15" s="36">
        <f>IF(A14&gt;=Inputs!$B$18,NA(),(J14+12*E15)*(1+Inputs!$B$10))</f>
        <v>100783.93945985382</v>
      </c>
      <c r="K15" s="25">
        <f>IF(A14&gt;=Inputs!$B$18,NA(),IF(B15&lt;57,H15-J15,IF(B15&lt;58,90%*H15,H15)))</f>
        <v>329538.76662622485</v>
      </c>
      <c r="L15" s="34">
        <f>IF(C15&lt;Inputs!$B$6,Inputs!$B$9*(Inputs!$B$7-Inputs!$B$8),Inputs!$B$6*(Inputs!$B$7-Inputs!$B$8))</f>
        <v>666.3999999999999</v>
      </c>
      <c r="M15" s="38">
        <f>IF(A14&gt;=Inputs!$B$18,NA(),K15/H15)</f>
        <v>0.7657945118059987</v>
      </c>
      <c r="N15" s="25">
        <f>IF(A14&gt;=Inputs!$B$18,"",O14)</f>
        <v>95961.59999999999</v>
      </c>
      <c r="O15" s="25">
        <f>IF(A14&gt;=Inputs!$B$18,"",O14+12*L15)</f>
        <v>103958.4</v>
      </c>
      <c r="P15" s="25">
        <f>IF(A14&gt;=Inputs!$B$18,"",12*IF(C15&lt;Inputs!$B$6,1.61%*C15,1.61%*Inputs!$B$6))</f>
        <v>2203.656026709454</v>
      </c>
    </row>
    <row r="16" spans="1:16" ht="14.25">
      <c r="A16" s="25">
        <f>IF(A15&gt;=Inputs!$B$18,"",A15+1)</f>
        <v>38</v>
      </c>
      <c r="B16" s="11">
        <f>IF(A15&gt;=Inputs!$B$18,NA(),B15+1)</f>
        <v>38</v>
      </c>
      <c r="C16" s="26">
        <f>IF(A15&gt;=Inputs!$B$18,"",C15*(1+Inputs!$B$17))</f>
        <v>11748.269707612517</v>
      </c>
      <c r="D16" s="26">
        <f>IF(B16&gt;Inputs!$B$19,0,IF(C16&lt;Inputs!$B$6,(C16*Inputs!$B$7),IF(Inputs!$B$15=Inputs!$B$12,(C16*Inputs!$B$7),IF(Inputs!$B$15=Inputs!$B$13,(C16*Inputs!$B$7),IF(Inputs!$B$15=Inputs!$B$14,(Inputs!$B$6*Inputs!$B$7),0)))))</f>
        <v>1409.792364913502</v>
      </c>
      <c r="E16" s="26">
        <f>IF(B16&gt;Inputs!$B$19,0,IF(C16&lt;Inputs!$B$6,(C16*Inputs!$B$8),IF(Inputs!$B$15=Inputs!$B$12,(C16*Inputs!$B$7)-(Inputs!$B$6*(Inputs!$B$7-Inputs!$B$8)),IF(Inputs!$B$15=Inputs!$B$13,(Inputs!$B$6*Inputs!$B$8),IF(Inputs!$B$15=Inputs!$B$14,(Inputs!$B$6*Inputs!$B$8),0)))))</f>
        <v>431.1614982693794</v>
      </c>
      <c r="F16" s="25">
        <f>IF(B16&gt;Inputs!$B$19,0,IF(C16&lt;Inputs!$B$6,(C16*Inputs!$B$7)+(C16*Inputs!$B$8),IF(Inputs!$B$15=Inputs!$B$12,(C16*Inputs!$B$7)+(C16*Inputs!$B$7)-(Inputs!$B$6*(Inputs!$B$7-Inputs!$B$8)),IF(Inputs!$B$15=Inputs!$B$13,(C16*Inputs!$B$7)+(Inputs!$B$6*Inputs!$B$8),IF(Inputs!$B$15=Inputs!$B$14,(Inputs!$B$6*Inputs!$B$7)+(Inputs!$B$6*Inputs!$B$8),0)))))</f>
        <v>1840.9538631828814</v>
      </c>
      <c r="G16" s="25">
        <f>IF(A15&gt;=Inputs!$B$18,"",H15)</f>
        <v>430322.70608607866</v>
      </c>
      <c r="H16" s="25">
        <f>IF(A15&gt;=Inputs!$B$18,"",(H15+12*F16)*(1+Inputs!$B$10))</f>
        <v>492226.5978593693</v>
      </c>
      <c r="I16" s="25">
        <f>IF(A15&gt;=Inputs!$B$18,"",J15)</f>
        <v>100783.93945985382</v>
      </c>
      <c r="J16" s="36">
        <f>IF(A15&gt;=Inputs!$B$18,NA(),(J15+12*E16)*(1+Inputs!$B$10))</f>
        <v>115282.17065372597</v>
      </c>
      <c r="K16" s="25">
        <f>IF(A15&gt;=Inputs!$B$18,NA(),IF(B16&lt;57,H16-J16,IF(B16&lt;58,90%*H16,H16)))</f>
        <v>376944.4272056433</v>
      </c>
      <c r="L16" s="34">
        <f>IF(C16&lt;Inputs!$B$6,Inputs!$B$9*(Inputs!$B$7-Inputs!$B$8),Inputs!$B$6*(Inputs!$B$7-Inputs!$B$8))</f>
        <v>666.3999999999999</v>
      </c>
      <c r="M16" s="38">
        <f>IF(A15&gt;=Inputs!$B$18,NA(),K16/H16)</f>
        <v>0.7657945118059987</v>
      </c>
      <c r="N16" s="25">
        <f>IF(A15&gt;=Inputs!$B$18,"",O15)</f>
        <v>103958.4</v>
      </c>
      <c r="O16" s="25">
        <f>IF(A15&gt;=Inputs!$B$18,"",O15+12*L16)</f>
        <v>111955.2</v>
      </c>
      <c r="P16" s="25">
        <f>IF(A15&gt;=Inputs!$B$18,"",12*IF(C16&lt;Inputs!$B$6,1.61%*C16,1.61%*Inputs!$B$6))</f>
        <v>2269.765707510738</v>
      </c>
    </row>
    <row r="17" spans="1:16" ht="14.25">
      <c r="A17" s="25">
        <f>IF(A16&gt;=Inputs!$B$18,"",A16+1)</f>
        <v>39</v>
      </c>
      <c r="B17" s="11">
        <f>IF(A16&gt;=Inputs!$B$18,NA(),B16+1)</f>
        <v>39</v>
      </c>
      <c r="C17" s="26">
        <f>IF(A16&gt;=Inputs!$B$18,"",C16*(1+Inputs!$B$17))</f>
        <v>12100.717798840893</v>
      </c>
      <c r="D17" s="26">
        <f>IF(B17&gt;Inputs!$B$19,0,IF(C17&lt;Inputs!$B$6,(C17*Inputs!$B$7),IF(Inputs!$B$15=Inputs!$B$12,(C17*Inputs!$B$7),IF(Inputs!$B$15=Inputs!$B$13,(C17*Inputs!$B$7),IF(Inputs!$B$15=Inputs!$B$14,(Inputs!$B$6*Inputs!$B$7),0)))))</f>
        <v>1452.086135860907</v>
      </c>
      <c r="E17" s="26">
        <f>IF(B17&gt;Inputs!$B$19,0,IF(C17&lt;Inputs!$B$6,(C17*Inputs!$B$8),IF(Inputs!$B$15=Inputs!$B$12,(C17*Inputs!$B$7)-(Inputs!$B$6*(Inputs!$B$7-Inputs!$B$8)),IF(Inputs!$B$15=Inputs!$B$13,(Inputs!$B$6*Inputs!$B$8),IF(Inputs!$B$15=Inputs!$B$14,(Inputs!$B$6*Inputs!$B$8),0)))))</f>
        <v>444.0963432174608</v>
      </c>
      <c r="F17" s="25">
        <f>IF(B17&gt;Inputs!$B$19,0,IF(C17&lt;Inputs!$B$6,(C17*Inputs!$B$7)+(C17*Inputs!$B$8),IF(Inputs!$B$15=Inputs!$B$12,(C17*Inputs!$B$7)+(C17*Inputs!$B$7)-(Inputs!$B$6*(Inputs!$B$7-Inputs!$B$8)),IF(Inputs!$B$15=Inputs!$B$13,(C17*Inputs!$B$7)+(Inputs!$B$6*Inputs!$B$8),IF(Inputs!$B$15=Inputs!$B$14,(Inputs!$B$6*Inputs!$B$7)+(Inputs!$B$6*Inputs!$B$8),0)))))</f>
        <v>1896.1824790783678</v>
      </c>
      <c r="G17" s="25">
        <f>IF(A16&gt;=Inputs!$B$18,"",H16)</f>
        <v>492226.5978593693</v>
      </c>
      <c r="H17" s="25">
        <f>IF(A16&gt;=Inputs!$B$18,"",(H16+12*F17)*(1+Inputs!$B$10))</f>
        <v>560299.096917841</v>
      </c>
      <c r="I17" s="25">
        <f>IF(A16&gt;=Inputs!$B$18,"",J16)</f>
        <v>115282.17065372597</v>
      </c>
      <c r="J17" s="36">
        <f>IF(A16&gt;=Inputs!$B$18,NA(),(J16+12*E17)*(1+Inputs!$B$10))</f>
        <v>131225.12352830105</v>
      </c>
      <c r="K17" s="25">
        <f>IF(A16&gt;=Inputs!$B$18,NA(),IF(B17&lt;57,H17-J17,IF(B17&lt;58,90%*H17,H17)))</f>
        <v>429073.97338954</v>
      </c>
      <c r="L17" s="34">
        <f>IF(C17&lt;Inputs!$B$6,Inputs!$B$9*(Inputs!$B$7-Inputs!$B$8),Inputs!$B$6*(Inputs!$B$7-Inputs!$B$8))</f>
        <v>666.3999999999999</v>
      </c>
      <c r="M17" s="38">
        <f>IF(A16&gt;=Inputs!$B$18,NA(),K17/H17)</f>
        <v>0.7657945118059987</v>
      </c>
      <c r="N17" s="25">
        <f>IF(A16&gt;=Inputs!$B$18,"",O16)</f>
        <v>111955.2</v>
      </c>
      <c r="O17" s="25">
        <f>IF(A16&gt;=Inputs!$B$18,"",O16+12*L17)</f>
        <v>119952</v>
      </c>
      <c r="P17" s="25">
        <f>IF(A16&gt;=Inputs!$B$18,"",12*IF(C17&lt;Inputs!$B$6,1.61%*C17,1.61%*Inputs!$B$6))</f>
        <v>2337.8586787360605</v>
      </c>
    </row>
    <row r="18" spans="1:16" ht="14.25">
      <c r="A18" s="29">
        <f>IF(A17&gt;=Inputs!$B$18,"",A17+1)</f>
        <v>40</v>
      </c>
      <c r="B18" s="11">
        <f>IF(A17&gt;=Inputs!$B$18,NA(),B17+1)</f>
        <v>40</v>
      </c>
      <c r="C18" s="21">
        <f>IF(A17&gt;=Inputs!$B$18,"",C17*(1+Inputs!$B$17))</f>
        <v>12463.73933280612</v>
      </c>
      <c r="D18" s="26">
        <f>IF(B18&gt;Inputs!$B$19,0,IF(C18&lt;Inputs!$B$6,(C18*Inputs!$B$7),IF(Inputs!$B$15=Inputs!$B$12,(C18*Inputs!$B$7),IF(Inputs!$B$15=Inputs!$B$13,(C18*Inputs!$B$7),IF(Inputs!$B$15=Inputs!$B$14,(Inputs!$B$6*Inputs!$B$7),0)))))</f>
        <v>1495.6487199367343</v>
      </c>
      <c r="E18" s="26">
        <f>IF(B18&gt;Inputs!$B$19,0,IF(C18&lt;Inputs!$B$6,(C18*Inputs!$B$8),IF(Inputs!$B$15=Inputs!$B$12,(C18*Inputs!$B$7)-(Inputs!$B$6*(Inputs!$B$7-Inputs!$B$8)),IF(Inputs!$B$15=Inputs!$B$13,(Inputs!$B$6*Inputs!$B$8),IF(Inputs!$B$15=Inputs!$B$14,(Inputs!$B$6*Inputs!$B$8),0)))))</f>
        <v>457.4192335139847</v>
      </c>
      <c r="F18" s="25">
        <f>IF(B18&gt;Inputs!$B$19,0,IF(C18&lt;Inputs!$B$6,(C18*Inputs!$B$7)+(C18*Inputs!$B$8),IF(Inputs!$B$15=Inputs!$B$12,(C18*Inputs!$B$7)+(C18*Inputs!$B$7)-(Inputs!$B$6*(Inputs!$B$7-Inputs!$B$8)),IF(Inputs!$B$15=Inputs!$B$13,(C18*Inputs!$B$7)+(Inputs!$B$6*Inputs!$B$8),IF(Inputs!$B$15=Inputs!$B$14,(Inputs!$B$6*Inputs!$B$7)+(Inputs!$B$6*Inputs!$B$8),0)))))</f>
        <v>1953.067953450719</v>
      </c>
      <c r="G18" s="29">
        <f>IF(A17&gt;=Inputs!$B$18,"",H17)</f>
        <v>560299.096917841</v>
      </c>
      <c r="H18" s="25">
        <f>IF(A17&gt;=Inputs!$B$18,"",(H17+12*F18)*(1+Inputs!$B$10))</f>
        <v>635104.6726468637</v>
      </c>
      <c r="I18" s="25">
        <f>IF(A17&gt;=Inputs!$B$18,"",J17)</f>
        <v>131225.12352830105</v>
      </c>
      <c r="J18" s="36">
        <f>IF(A17&gt;=Inputs!$B$18,NA(),(J17+12*E18)*(1+Inputs!$B$10))</f>
        <v>148744.9999115501</v>
      </c>
      <c r="K18" s="25">
        <f>IF(A17&gt;=Inputs!$B$18,NA(),IF(B18&lt;57,H18-J18,IF(B18&lt;58,90%*H18,H18)))</f>
        <v>486359.67273531365</v>
      </c>
      <c r="L18" s="34">
        <f>IF(C18&lt;Inputs!$B$6,Inputs!$B$9*(Inputs!$B$7-Inputs!$B$8),Inputs!$B$6*(Inputs!$B$7-Inputs!$B$8))</f>
        <v>666.3999999999999</v>
      </c>
      <c r="M18" s="38">
        <f>IF(A17&gt;=Inputs!$B$18,NA(),K18/H18)</f>
        <v>0.7657945118059988</v>
      </c>
      <c r="N18" s="19">
        <f>IF(A17&gt;=Inputs!$B$18,"",O17)</f>
        <v>119952</v>
      </c>
      <c r="O18" s="19">
        <f>IF(A17&gt;=Inputs!$B$18,"",O17+12*L18)</f>
        <v>127948.8</v>
      </c>
      <c r="P18" s="19">
        <f>IF(A17&gt;=Inputs!$B$18,"",12*IF(C18&lt;Inputs!$B$6,1.61%*C18,1.61%*Inputs!$B$6))</f>
        <v>2407.9944390981427</v>
      </c>
    </row>
    <row r="19" spans="1:16" ht="14.25">
      <c r="A19" s="29">
        <f>IF(A18&gt;=Inputs!$B$18,"",A18+1)</f>
        <v>41</v>
      </c>
      <c r="B19" s="11">
        <f>IF(A18&gt;=Inputs!$B$18,NA(),B18+1)</f>
        <v>41</v>
      </c>
      <c r="C19" s="21">
        <f>IF(A18&gt;=Inputs!$B$18,"",C18*(1+Inputs!$B$17))</f>
        <v>12837.651512790304</v>
      </c>
      <c r="D19" s="26">
        <f>IF(B19&gt;Inputs!$B$19,0,IF(C19&lt;Inputs!$B$6,(C19*Inputs!$B$7),IF(Inputs!$B$15=Inputs!$B$12,(C19*Inputs!$B$7),IF(Inputs!$B$15=Inputs!$B$13,(C19*Inputs!$B$7),IF(Inputs!$B$15=Inputs!$B$14,(Inputs!$B$6*Inputs!$B$7),0)))))</f>
        <v>1540.5181815348365</v>
      </c>
      <c r="E19" s="26">
        <f>IF(B19&gt;Inputs!$B$19,0,IF(C19&lt;Inputs!$B$6,(C19*Inputs!$B$8),IF(Inputs!$B$15=Inputs!$B$12,(C19*Inputs!$B$7)-(Inputs!$B$6*(Inputs!$B$7-Inputs!$B$8)),IF(Inputs!$B$15=Inputs!$B$13,(Inputs!$B$6*Inputs!$B$8),IF(Inputs!$B$15=Inputs!$B$14,(Inputs!$B$6*Inputs!$B$8),0)))))</f>
        <v>471.1418105194042</v>
      </c>
      <c r="F19" s="25">
        <f>IF(B19&gt;Inputs!$B$19,0,IF(C19&lt;Inputs!$B$6,(C19*Inputs!$B$7)+(C19*Inputs!$B$8),IF(Inputs!$B$15=Inputs!$B$12,(C19*Inputs!$B$7)+(C19*Inputs!$B$7)-(Inputs!$B$6*(Inputs!$B$7-Inputs!$B$8)),IF(Inputs!$B$15=Inputs!$B$13,(C19*Inputs!$B$7)+(Inputs!$B$6*Inputs!$B$8),IF(Inputs!$B$15=Inputs!$B$14,(Inputs!$B$6*Inputs!$B$7)+(Inputs!$B$6*Inputs!$B$8),0)))))</f>
        <v>2011.6599920542408</v>
      </c>
      <c r="G19" s="29">
        <f>IF(A18&gt;=Inputs!$B$18,"",H18)</f>
        <v>635104.6726468637</v>
      </c>
      <c r="H19" s="25">
        <f>IF(A18&gt;=Inputs!$B$18,"",(H18+12*F19)*(1+Inputs!$B$10))</f>
        <v>717258.116696048</v>
      </c>
      <c r="I19" s="25">
        <f>IF(A18&gt;=Inputs!$B$18,"",J18)</f>
        <v>148744.9999115501</v>
      </c>
      <c r="J19" s="36">
        <f>IF(A18&gt;=Inputs!$B$18,NA(),(J18+12*E19)*(1+Inputs!$B$10))</f>
        <v>167985.7873819079</v>
      </c>
      <c r="K19" s="25">
        <f>IF(A18&gt;=Inputs!$B$18,NA(),IF(B19&lt;57,H19-J19,IF(B19&lt;58,90%*H19,H19)))</f>
        <v>549272.32931414</v>
      </c>
      <c r="L19" s="34">
        <f>IF(C19&lt;Inputs!$B$6,Inputs!$B$9*(Inputs!$B$7-Inputs!$B$8),Inputs!$B$6*(Inputs!$B$7-Inputs!$B$8))</f>
        <v>666.3999999999999</v>
      </c>
      <c r="M19" s="38">
        <f>IF(A18&gt;=Inputs!$B$18,NA(),K19/H19)</f>
        <v>0.7657945118059987</v>
      </c>
      <c r="N19" s="19">
        <f>IF(A18&gt;=Inputs!$B$18,"",O18)</f>
        <v>127948.8</v>
      </c>
      <c r="O19" s="19">
        <f>IF(A18&gt;=Inputs!$B$18,"",O18+12*L19)</f>
        <v>135945.6</v>
      </c>
      <c r="P19" s="19">
        <f>IF(A18&gt;=Inputs!$B$18,"",12*IF(C19&lt;Inputs!$B$6,1.61%*C19,1.61%*Inputs!$B$6))</f>
        <v>2480.2342722710864</v>
      </c>
    </row>
    <row r="20" spans="1:16" ht="14.25">
      <c r="A20" s="29">
        <f>IF(A19&gt;=Inputs!$B$18,"",A19+1)</f>
        <v>42</v>
      </c>
      <c r="B20" s="11">
        <f>IF(A19&gt;=Inputs!$B$18,NA(),B19+1)</f>
        <v>42</v>
      </c>
      <c r="C20" s="21">
        <f>IF(A19&gt;=Inputs!$B$18,"",C19*(1+Inputs!$B$17))</f>
        <v>13222.781058174014</v>
      </c>
      <c r="D20" s="26">
        <f>IF(B20&gt;Inputs!$B$19,0,IF(C20&lt;Inputs!$B$6,(C20*Inputs!$B$7),IF(Inputs!$B$15=Inputs!$B$12,(C20*Inputs!$B$7),IF(Inputs!$B$15=Inputs!$B$13,(C20*Inputs!$B$7),IF(Inputs!$B$15=Inputs!$B$14,(Inputs!$B$6*Inputs!$B$7),0)))))</f>
        <v>1586.7337269808816</v>
      </c>
      <c r="E20" s="26">
        <f>IF(B20&gt;Inputs!$B$19,0,IF(C20&lt;Inputs!$B$6,(C20*Inputs!$B$8),IF(Inputs!$B$15=Inputs!$B$12,(C20*Inputs!$B$7)-(Inputs!$B$6*(Inputs!$B$7-Inputs!$B$8)),IF(Inputs!$B$15=Inputs!$B$13,(Inputs!$B$6*Inputs!$B$8),IF(Inputs!$B$15=Inputs!$B$14,(Inputs!$B$6*Inputs!$B$8),0)))))</f>
        <v>485.27606483498636</v>
      </c>
      <c r="F20" s="25">
        <f>IF(B20&gt;Inputs!$B$19,0,IF(C20&lt;Inputs!$B$6,(C20*Inputs!$B$7)+(C20*Inputs!$B$8),IF(Inputs!$B$15=Inputs!$B$12,(C20*Inputs!$B$7)+(C20*Inputs!$B$7)-(Inputs!$B$6*(Inputs!$B$7-Inputs!$B$8)),IF(Inputs!$B$15=Inputs!$B$13,(C20*Inputs!$B$7)+(Inputs!$B$6*Inputs!$B$8),IF(Inputs!$B$15=Inputs!$B$14,(Inputs!$B$6*Inputs!$B$7)+(Inputs!$B$6*Inputs!$B$8),0)))))</f>
        <v>2072.009791815868</v>
      </c>
      <c r="G20" s="29">
        <f>IF(A19&gt;=Inputs!$B$18,"",H19)</f>
        <v>717258.116696048</v>
      </c>
      <c r="H20" s="25">
        <f>IF(A19&gt;=Inputs!$B$18,"",(H19+12*F20)*(1+Inputs!$B$10))</f>
        <v>807428.9908072482</v>
      </c>
      <c r="I20" s="25">
        <f>IF(A19&gt;=Inputs!$B$18,"",J19)</f>
        <v>167985.7873819079</v>
      </c>
      <c r="J20" s="36">
        <f>IF(A19&gt;=Inputs!$B$18,NA(),(J19+12*E20)*(1+Inputs!$B$10))</f>
        <v>189104.30097400138</v>
      </c>
      <c r="K20" s="25">
        <f>IF(A19&gt;=Inputs!$B$18,NA(),IF(B20&lt;57,H20-J20,IF(B20&lt;58,90%*H20,H20)))</f>
        <v>618324.6898332468</v>
      </c>
      <c r="L20" s="34">
        <f>IF(C20&lt;Inputs!$B$6,Inputs!$B$9*(Inputs!$B$7-Inputs!$B$8),Inputs!$B$6*(Inputs!$B$7-Inputs!$B$8))</f>
        <v>666.3999999999999</v>
      </c>
      <c r="M20" s="38">
        <f>IF(A19&gt;=Inputs!$B$18,NA(),K20/H20)</f>
        <v>0.7657945118059987</v>
      </c>
      <c r="N20" s="19">
        <f>IF(A19&gt;=Inputs!$B$18,"",O19)</f>
        <v>135945.6</v>
      </c>
      <c r="O20" s="19">
        <f>IF(A19&gt;=Inputs!$B$18,"",O19+12*L20)</f>
        <v>143942.4</v>
      </c>
      <c r="P20" s="19">
        <f>IF(A19&gt;=Inputs!$B$18,"",12*IF(C20&lt;Inputs!$B$6,1.61%*C20,1.61%*Inputs!$B$6))</f>
        <v>2554.6413004392193</v>
      </c>
    </row>
    <row r="21" spans="1:16" ht="14.25">
      <c r="A21" s="29">
        <f>IF(A20&gt;=Inputs!$B$18,"",A20+1)</f>
        <v>43</v>
      </c>
      <c r="B21" s="11">
        <f>IF(A20&gt;=Inputs!$B$18,NA(),B20+1)</f>
        <v>43</v>
      </c>
      <c r="C21" s="21">
        <f>IF(A20&gt;=Inputs!$B$18,"",C20*(1+Inputs!$B$17))</f>
        <v>13619.464489919235</v>
      </c>
      <c r="D21" s="26">
        <f>IF(B21&gt;Inputs!$B$19,0,IF(C21&lt;Inputs!$B$6,(C21*Inputs!$B$7),IF(Inputs!$B$15=Inputs!$B$12,(C21*Inputs!$B$7),IF(Inputs!$B$15=Inputs!$B$13,(C21*Inputs!$B$7),IF(Inputs!$B$15=Inputs!$B$14,(Inputs!$B$6*Inputs!$B$7),0)))))</f>
        <v>1634.3357387903081</v>
      </c>
      <c r="E21" s="26">
        <f>IF(B21&gt;Inputs!$B$19,0,IF(C21&lt;Inputs!$B$6,(C21*Inputs!$B$8),IF(Inputs!$B$15=Inputs!$B$12,(C21*Inputs!$B$7)-(Inputs!$B$6*(Inputs!$B$7-Inputs!$B$8)),IF(Inputs!$B$15=Inputs!$B$13,(Inputs!$B$6*Inputs!$B$8),IF(Inputs!$B$15=Inputs!$B$14,(Inputs!$B$6*Inputs!$B$8),0)))))</f>
        <v>499.83434678003596</v>
      </c>
      <c r="F21" s="25">
        <f>IF(B21&gt;Inputs!$B$19,0,IF(C21&lt;Inputs!$B$6,(C21*Inputs!$B$7)+(C21*Inputs!$B$8),IF(Inputs!$B$15=Inputs!$B$12,(C21*Inputs!$B$7)+(C21*Inputs!$B$7)-(Inputs!$B$6*(Inputs!$B$7-Inputs!$B$8)),IF(Inputs!$B$15=Inputs!$B$13,(C21*Inputs!$B$7)+(Inputs!$B$6*Inputs!$B$8),IF(Inputs!$B$15=Inputs!$B$14,(Inputs!$B$6*Inputs!$B$7)+(Inputs!$B$6*Inputs!$B$8),0)))))</f>
        <v>2134.170085570344</v>
      </c>
      <c r="G21" s="29">
        <f>IF(A20&gt;=Inputs!$B$18,"",H20)</f>
        <v>807428.9908072482</v>
      </c>
      <c r="H21" s="25">
        <f>IF(A20&gt;=Inputs!$B$18,"",(H20+12*F21)*(1+Inputs!$B$10))</f>
        <v>906346.4666354925</v>
      </c>
      <c r="I21" s="25">
        <f>IF(A20&gt;=Inputs!$B$18,"",J20)</f>
        <v>189104.30097400138</v>
      </c>
      <c r="J21" s="36">
        <f>IF(A20&gt;=Inputs!$B$18,NA(),(J20+12*E21)*(1+Inputs!$B$10))</f>
        <v>212271.31669127368</v>
      </c>
      <c r="K21" s="25">
        <f>IF(A20&gt;=Inputs!$B$18,NA(),IF(B21&lt;57,H21-J21,IF(B21&lt;58,90%*H21,H21)))</f>
        <v>694075.1499442188</v>
      </c>
      <c r="L21" s="34">
        <f>IF(C21&lt;Inputs!$B$6,Inputs!$B$9*(Inputs!$B$7-Inputs!$B$8),Inputs!$B$6*(Inputs!$B$7-Inputs!$B$8))</f>
        <v>666.3999999999999</v>
      </c>
      <c r="M21" s="38">
        <f>IF(A20&gt;=Inputs!$B$18,NA(),K21/H21)</f>
        <v>0.7657945118059987</v>
      </c>
      <c r="N21" s="19">
        <f>IF(A20&gt;=Inputs!$B$18,"",O20)</f>
        <v>143942.4</v>
      </c>
      <c r="O21" s="19">
        <f>IF(A20&gt;=Inputs!$B$18,"",O20+12*L21)</f>
        <v>151939.19999999998</v>
      </c>
      <c r="P21" s="19">
        <f>IF(A20&gt;=Inputs!$B$18,"",12*IF(C21&lt;Inputs!$B$6,1.61%*C21,1.61%*Inputs!$B$6))</f>
        <v>2631.280539452396</v>
      </c>
    </row>
    <row r="22" spans="1:16" ht="14.25">
      <c r="A22" s="29">
        <f>IF(A21&gt;=Inputs!$B$18,"",A21+1)</f>
        <v>44</v>
      </c>
      <c r="B22" s="11">
        <f>IF(A21&gt;=Inputs!$B$18,NA(),B21+1)</f>
        <v>44</v>
      </c>
      <c r="C22" s="21">
        <f>IF(A21&gt;=Inputs!$B$18,"",C21*(1+Inputs!$B$17))</f>
        <v>14028.048424616813</v>
      </c>
      <c r="D22" s="26">
        <f>IF(B22&gt;Inputs!$B$19,0,IF(C22&lt;Inputs!$B$6,(C22*Inputs!$B$7),IF(Inputs!$B$15=Inputs!$B$12,(C22*Inputs!$B$7),IF(Inputs!$B$15=Inputs!$B$13,(C22*Inputs!$B$7),IF(Inputs!$B$15=Inputs!$B$14,(Inputs!$B$6*Inputs!$B$7),0)))))</f>
        <v>1683.3658109540174</v>
      </c>
      <c r="E22" s="26">
        <f>IF(B22&gt;Inputs!$B$19,0,IF(C22&lt;Inputs!$B$6,(C22*Inputs!$B$8),IF(Inputs!$B$15=Inputs!$B$12,(C22*Inputs!$B$7)-(Inputs!$B$6*(Inputs!$B$7-Inputs!$B$8)),IF(Inputs!$B$15=Inputs!$B$13,(Inputs!$B$6*Inputs!$B$8),IF(Inputs!$B$15=Inputs!$B$14,(Inputs!$B$6*Inputs!$B$8),0)))))</f>
        <v>514.829377183437</v>
      </c>
      <c r="F22" s="25">
        <f>IF(B22&gt;Inputs!$B$19,0,IF(C22&lt;Inputs!$B$6,(C22*Inputs!$B$7)+(C22*Inputs!$B$8),IF(Inputs!$B$15=Inputs!$B$12,(C22*Inputs!$B$7)+(C22*Inputs!$B$7)-(Inputs!$B$6*(Inputs!$B$7-Inputs!$B$8)),IF(Inputs!$B$15=Inputs!$B$13,(C22*Inputs!$B$7)+(Inputs!$B$6*Inputs!$B$8),IF(Inputs!$B$15=Inputs!$B$14,(Inputs!$B$6*Inputs!$B$7)+(Inputs!$B$6*Inputs!$B$8),0)))))</f>
        <v>2198.1951881374544</v>
      </c>
      <c r="G22" s="29">
        <f>IF(A21&gt;=Inputs!$B$18,"",H21)</f>
        <v>906346.4666354925</v>
      </c>
      <c r="H22" s="25">
        <f>IF(A21&gt;=Inputs!$B$18,"",(H21+12*F22)*(1+Inputs!$B$10))</f>
        <v>1014804.5920757385</v>
      </c>
      <c r="I22" s="25">
        <f>IF(A21&gt;=Inputs!$B$18,"",J21)</f>
        <v>212271.31669127368</v>
      </c>
      <c r="J22" s="36">
        <f>IF(A21&gt;=Inputs!$B$18,NA(),(J21+12*E22)*(1+Inputs!$B$10))</f>
        <v>237672.8049086127</v>
      </c>
      <c r="K22" s="25">
        <f>IF(A21&gt;=Inputs!$B$18,NA(),IF(B22&lt;57,H22-J22,IF(B22&lt;58,90%*H22,H22)))</f>
        <v>777131.7871671257</v>
      </c>
      <c r="L22" s="34">
        <f>IF(C22&lt;Inputs!$B$6,Inputs!$B$9*(Inputs!$B$7-Inputs!$B$8),Inputs!$B$6*(Inputs!$B$7-Inputs!$B$8))</f>
        <v>666.3999999999999</v>
      </c>
      <c r="M22" s="38">
        <f>IF(A21&gt;=Inputs!$B$18,NA(),K22/H22)</f>
        <v>0.7657945118059987</v>
      </c>
      <c r="N22" s="19">
        <f>IF(A21&gt;=Inputs!$B$18,"",O21)</f>
        <v>151939.19999999998</v>
      </c>
      <c r="O22" s="19">
        <f>IF(A21&gt;=Inputs!$B$18,"",O21+12*L22)</f>
        <v>159935.99999999997</v>
      </c>
      <c r="P22" s="19">
        <f>IF(A21&gt;=Inputs!$B$18,"",12*IF(C22&lt;Inputs!$B$6,1.61%*C22,1.61%*Inputs!$B$6))</f>
        <v>2710.218955635968</v>
      </c>
    </row>
    <row r="23" spans="1:16" ht="14.25">
      <c r="A23" s="29">
        <f>IF(A22&gt;=Inputs!$B$18,"",A22+1)</f>
        <v>45</v>
      </c>
      <c r="B23" s="11">
        <f>IF(A22&gt;=Inputs!$B$18,NA(),B22+1)</f>
        <v>45</v>
      </c>
      <c r="C23" s="21">
        <f>IF(A22&gt;=Inputs!$B$18,"",C22*(1+Inputs!$B$17))</f>
        <v>14448.889877355317</v>
      </c>
      <c r="D23" s="26">
        <f>IF(B23&gt;Inputs!$B$19,0,IF(C23&lt;Inputs!$B$6,(C23*Inputs!$B$7),IF(Inputs!$B$15=Inputs!$B$12,(C23*Inputs!$B$7),IF(Inputs!$B$15=Inputs!$B$13,(C23*Inputs!$B$7),IF(Inputs!$B$15=Inputs!$B$14,(Inputs!$B$6*Inputs!$B$7),0)))))</f>
        <v>1733.866785282638</v>
      </c>
      <c r="E23" s="26">
        <f>IF(B23&gt;Inputs!$B$19,0,IF(C23&lt;Inputs!$B$6,(C23*Inputs!$B$8),IF(Inputs!$B$15=Inputs!$B$12,(C23*Inputs!$B$7)-(Inputs!$B$6*(Inputs!$B$7-Inputs!$B$8)),IF(Inputs!$B$15=Inputs!$B$13,(Inputs!$B$6*Inputs!$B$8),IF(Inputs!$B$15=Inputs!$B$14,(Inputs!$B$6*Inputs!$B$8),0)))))</f>
        <v>530.2742584989402</v>
      </c>
      <c r="F23" s="25">
        <f>IF(B23&gt;Inputs!$B$19,0,IF(C23&lt;Inputs!$B$6,(C23*Inputs!$B$7)+(C23*Inputs!$B$8),IF(Inputs!$B$15=Inputs!$B$12,(C23*Inputs!$B$7)+(C23*Inputs!$B$7)-(Inputs!$B$6*(Inputs!$B$7-Inputs!$B$8)),IF(Inputs!$B$15=Inputs!$B$13,(C23*Inputs!$B$7)+(Inputs!$B$6*Inputs!$B$8),IF(Inputs!$B$15=Inputs!$B$14,(Inputs!$B$6*Inputs!$B$7)+(Inputs!$B$6*Inputs!$B$8),0)))))</f>
        <v>2264.141043781578</v>
      </c>
      <c r="G23" s="29">
        <f>IF(A22&gt;=Inputs!$B$18,"",H22)</f>
        <v>1014804.5920757385</v>
      </c>
      <c r="H23" s="25">
        <f>IF(A22&gt;=Inputs!$B$18,"",(H22+12*F23)*(1+Inputs!$B$10))</f>
        <v>1133668.0216460158</v>
      </c>
      <c r="I23" s="25">
        <f>IF(A22&gt;=Inputs!$B$18,"",J22)</f>
        <v>237672.8049086127</v>
      </c>
      <c r="J23" s="36">
        <f>IF(A22&gt;=Inputs!$B$18,NA(),(J22+12*E23)*(1+Inputs!$B$10))</f>
        <v>265511.2724595328</v>
      </c>
      <c r="K23" s="25">
        <f>IF(A22&gt;=Inputs!$B$18,NA(),IF(B23&lt;57,H23-J23,IF(B23&lt;58,90%*H23,H23)))</f>
        <v>868156.749186483</v>
      </c>
      <c r="L23" s="34">
        <f>IF(C23&lt;Inputs!$B$6,Inputs!$B$9*(Inputs!$B$7-Inputs!$B$8),Inputs!$B$6*(Inputs!$B$7-Inputs!$B$8))</f>
        <v>666.3999999999999</v>
      </c>
      <c r="M23" s="38">
        <f>IF(A22&gt;=Inputs!$B$18,NA(),K23/H23)</f>
        <v>0.7657945118059987</v>
      </c>
      <c r="N23" s="19">
        <f>IF(A22&gt;=Inputs!$B$18,"",O22)</f>
        <v>159935.99999999997</v>
      </c>
      <c r="O23" s="19">
        <f>IF(A22&gt;=Inputs!$B$18,"",O22+12*L23)</f>
        <v>167932.79999999996</v>
      </c>
      <c r="P23" s="19">
        <f>IF(A22&gt;=Inputs!$B$18,"",12*IF(C23&lt;Inputs!$B$6,1.61%*C23,1.61%*Inputs!$B$6))</f>
        <v>2791.5255243050474</v>
      </c>
    </row>
    <row r="24" spans="1:16" ht="14.25">
      <c r="A24" s="29">
        <f>IF(A23&gt;=Inputs!$B$18,"",A23+1)</f>
        <v>46</v>
      </c>
      <c r="B24" s="11">
        <f>IF(A23&gt;=Inputs!$B$18,NA(),B23+1)</f>
        <v>46</v>
      </c>
      <c r="C24" s="21">
        <f>IF(A23&gt;=Inputs!$B$18,"",C23*(1+Inputs!$B$17))</f>
        <v>14882.356573675977</v>
      </c>
      <c r="D24" s="26">
        <f>IF(B24&gt;Inputs!$B$19,0,IF(C24&lt;Inputs!$B$6,(C24*Inputs!$B$7),IF(Inputs!$B$15=Inputs!$B$12,(C24*Inputs!$B$7),IF(Inputs!$B$15=Inputs!$B$13,(C24*Inputs!$B$7),IF(Inputs!$B$15=Inputs!$B$14,(Inputs!$B$6*Inputs!$B$7),0)))))</f>
        <v>1785.8827888411172</v>
      </c>
      <c r="E24" s="26">
        <f>IF(B24&gt;Inputs!$B$19,0,IF(C24&lt;Inputs!$B$6,(C24*Inputs!$B$8),IF(Inputs!$B$15=Inputs!$B$12,(C24*Inputs!$B$7)-(Inputs!$B$6*(Inputs!$B$7-Inputs!$B$8)),IF(Inputs!$B$15=Inputs!$B$13,(Inputs!$B$6*Inputs!$B$8),IF(Inputs!$B$15=Inputs!$B$14,(Inputs!$B$6*Inputs!$B$8),0)))))</f>
        <v>546.1824862539085</v>
      </c>
      <c r="F24" s="25">
        <f>IF(B24&gt;Inputs!$B$19,0,IF(C24&lt;Inputs!$B$6,(C24*Inputs!$B$7)+(C24*Inputs!$B$8),IF(Inputs!$B$15=Inputs!$B$12,(C24*Inputs!$B$7)+(C24*Inputs!$B$7)-(Inputs!$B$6*(Inputs!$B$7-Inputs!$B$8)),IF(Inputs!$B$15=Inputs!$B$13,(C24*Inputs!$B$7)+(Inputs!$B$6*Inputs!$B$8),IF(Inputs!$B$15=Inputs!$B$14,(Inputs!$B$6*Inputs!$B$7)+(Inputs!$B$6*Inputs!$B$8),0)))))</f>
        <v>2332.0652750950258</v>
      </c>
      <c r="G24" s="29">
        <f>IF(A23&gt;=Inputs!$B$18,"",H23)</f>
        <v>1133668.0216460158</v>
      </c>
      <c r="H24" s="25">
        <f>IF(A23&gt;=Inputs!$B$18,"",(H23+12*F24)*(1+Inputs!$B$10))</f>
        <v>1263878.251782506</v>
      </c>
      <c r="I24" s="25">
        <f>IF(A23&gt;=Inputs!$B$18,"",J23)</f>
        <v>265511.2724595328</v>
      </c>
      <c r="J24" s="36">
        <f>IF(A23&gt;=Inputs!$B$18,NA(),(J23+12*E24)*(1+Inputs!$B$10))</f>
        <v>296007.2229765027</v>
      </c>
      <c r="K24" s="25">
        <f>IF(A23&gt;=Inputs!$B$18,NA(),IF(B24&lt;57,H24-J24,IF(B24&lt;58,90%*H24,H24)))</f>
        <v>967871.0288060033</v>
      </c>
      <c r="L24" s="34">
        <f>IF(C24&lt;Inputs!$B$6,Inputs!$B$9*(Inputs!$B$7-Inputs!$B$8),Inputs!$B$6*(Inputs!$B$7-Inputs!$B$8))</f>
        <v>666.3999999999999</v>
      </c>
      <c r="M24" s="38">
        <f>IF(A23&gt;=Inputs!$B$18,NA(),K24/H24)</f>
        <v>0.7657945118059987</v>
      </c>
      <c r="N24" s="19">
        <f>IF(A23&gt;=Inputs!$B$18,"",O23)</f>
        <v>167932.79999999996</v>
      </c>
      <c r="O24" s="19">
        <f>IF(A23&gt;=Inputs!$B$18,"",O23+12*L24)</f>
        <v>175929.59999999995</v>
      </c>
      <c r="P24" s="19">
        <f>IF(A23&gt;=Inputs!$B$18,"",12*IF(C24&lt;Inputs!$B$6,1.61%*C24,1.61%*Inputs!$B$6))</f>
        <v>2875.271290034199</v>
      </c>
    </row>
    <row r="25" spans="1:16" ht="14.25">
      <c r="A25" s="29">
        <f>IF(A24&gt;=Inputs!$B$18,"",A24+1)</f>
        <v>47</v>
      </c>
      <c r="B25" s="11">
        <f>IF(A24&gt;=Inputs!$B$18,NA(),B24+1)</f>
        <v>47</v>
      </c>
      <c r="C25" s="21">
        <f>IF(A24&gt;=Inputs!$B$18,"",C24*(1+Inputs!$B$17))</f>
        <v>15328.827270886257</v>
      </c>
      <c r="D25" s="26">
        <f>IF(B25&gt;Inputs!$B$19,0,IF(C25&lt;Inputs!$B$6,(C25*Inputs!$B$7),IF(Inputs!$B$15=Inputs!$B$12,(C25*Inputs!$B$7),IF(Inputs!$B$15=Inputs!$B$13,(C25*Inputs!$B$7),IF(Inputs!$B$15=Inputs!$B$14,(Inputs!$B$6*Inputs!$B$7),0)))))</f>
        <v>1839.4592725063508</v>
      </c>
      <c r="E25" s="26">
        <f>IF(B25&gt;Inputs!$B$19,0,IF(C25&lt;Inputs!$B$6,(C25*Inputs!$B$8),IF(Inputs!$B$15=Inputs!$B$12,(C25*Inputs!$B$7)-(Inputs!$B$6*(Inputs!$B$7-Inputs!$B$8)),IF(Inputs!$B$15=Inputs!$B$13,(Inputs!$B$6*Inputs!$B$8),IF(Inputs!$B$15=Inputs!$B$14,(Inputs!$B$6*Inputs!$B$8),0)))))</f>
        <v>589.959272506351</v>
      </c>
      <c r="F25" s="25">
        <f>IF(B25&gt;Inputs!$B$19,0,IF(C25&lt;Inputs!$B$6,(C25*Inputs!$B$7)+(C25*Inputs!$B$8),IF(Inputs!$B$15=Inputs!$B$12,(C25*Inputs!$B$7)+(C25*Inputs!$B$7)-(Inputs!$B$6*(Inputs!$B$7-Inputs!$B$8)),IF(Inputs!$B$15=Inputs!$B$13,(C25*Inputs!$B$7)+(Inputs!$B$6*Inputs!$B$8),IF(Inputs!$B$15=Inputs!$B$14,(Inputs!$B$6*Inputs!$B$7)+(Inputs!$B$6*Inputs!$B$8),0)))))</f>
        <v>2429.4185450127015</v>
      </c>
      <c r="G25" s="29">
        <f>IF(A24&gt;=Inputs!$B$18,"",H24)</f>
        <v>1263878.251782506</v>
      </c>
      <c r="H25" s="25">
        <f>IF(A24&gt;=Inputs!$B$18,"",(H24+12*F25)*(1+Inputs!$B$10))</f>
        <v>1406818.0264630523</v>
      </c>
      <c r="I25" s="25">
        <f>IF(A24&gt;=Inputs!$B$18,"",J24)</f>
        <v>296007.2229765027</v>
      </c>
      <c r="J25" s="36">
        <f>IF(A24&gt;=Inputs!$B$18,NA(),(J24+12*E25)*(1+Inputs!$B$10))</f>
        <v>329758.36686027783</v>
      </c>
      <c r="K25" s="25">
        <f>IF(A24&gt;=Inputs!$B$18,NA(),IF(B25&lt;57,H25-J25,IF(B25&lt;58,90%*H25,H25)))</f>
        <v>1077059.6596027743</v>
      </c>
      <c r="L25" s="34">
        <f>IF(C25&lt;Inputs!$B$6,Inputs!$B$9*(Inputs!$B$7-Inputs!$B$8),Inputs!$B$6*(Inputs!$B$7-Inputs!$B$8))</f>
        <v>1249.4999999999998</v>
      </c>
      <c r="M25" s="38">
        <f>IF(A24&gt;=Inputs!$B$18,NA(),K25/H25)</f>
        <v>0.7655998425828114</v>
      </c>
      <c r="N25" s="19">
        <f>IF(A24&gt;=Inputs!$B$18,"",O24)</f>
        <v>175929.59999999995</v>
      </c>
      <c r="O25" s="19">
        <f>IF(A24&gt;=Inputs!$B$18,"",O24+12*L25)</f>
        <v>190923.59999999995</v>
      </c>
      <c r="P25" s="19">
        <f>IF(A24&gt;=Inputs!$B$18,"",12*IF(C25&lt;Inputs!$B$6,1.61%*C25,1.61%*Inputs!$B$6))</f>
        <v>2898</v>
      </c>
    </row>
    <row r="26" spans="1:16" ht="14.25">
      <c r="A26" s="29">
        <f>IF(A25&gt;=Inputs!$B$18,"",A25+1)</f>
        <v>48</v>
      </c>
      <c r="B26" s="11">
        <f>IF(A25&gt;=Inputs!$B$18,NA(),B25+1)</f>
        <v>48</v>
      </c>
      <c r="C26" s="21">
        <f>IF(A25&gt;=Inputs!$B$18,"",C25*(1+Inputs!$B$17))</f>
        <v>15788.692089012846</v>
      </c>
      <c r="D26" s="26">
        <f>IF(B26&gt;Inputs!$B$19,0,IF(C26&lt;Inputs!$B$6,(C26*Inputs!$B$7),IF(Inputs!$B$15=Inputs!$B$12,(C26*Inputs!$B$7),IF(Inputs!$B$15=Inputs!$B$13,(C26*Inputs!$B$7),IF(Inputs!$B$15=Inputs!$B$14,(Inputs!$B$6*Inputs!$B$7),0)))))</f>
        <v>1894.6430506815414</v>
      </c>
      <c r="E26" s="26">
        <f>IF(B26&gt;Inputs!$B$19,0,IF(C26&lt;Inputs!$B$6,(C26*Inputs!$B$8),IF(Inputs!$B$15=Inputs!$B$12,(C26*Inputs!$B$7)-(Inputs!$B$6*(Inputs!$B$7-Inputs!$B$8)),IF(Inputs!$B$15=Inputs!$B$13,(Inputs!$B$6*Inputs!$B$8),IF(Inputs!$B$15=Inputs!$B$14,(Inputs!$B$6*Inputs!$B$8),0)))))</f>
        <v>645.1430506815416</v>
      </c>
      <c r="F26" s="25">
        <f>IF(B26&gt;Inputs!$B$19,0,IF(C26&lt;Inputs!$B$6,(C26*Inputs!$B$7)+(C26*Inputs!$B$8),IF(Inputs!$B$15=Inputs!$B$12,(C26*Inputs!$B$7)+(C26*Inputs!$B$7)-(Inputs!$B$6*(Inputs!$B$7-Inputs!$B$8)),IF(Inputs!$B$15=Inputs!$B$13,(C26*Inputs!$B$7)+(Inputs!$B$6*Inputs!$B$8),IF(Inputs!$B$15=Inputs!$B$14,(Inputs!$B$6*Inputs!$B$7)+(Inputs!$B$6*Inputs!$B$8),0)))))</f>
        <v>2539.7861013630827</v>
      </c>
      <c r="G26" s="29">
        <f>IF(A25&gt;=Inputs!$B$18,"",H25)</f>
        <v>1406818.0264630523</v>
      </c>
      <c r="H26" s="25">
        <f>IF(A25&gt;=Inputs!$B$18,"",(H25+12*F26)*(1+Inputs!$B$10))</f>
        <v>1563777.4601311972</v>
      </c>
      <c r="I26" s="25">
        <f>IF(A25&gt;=Inputs!$B$18,"",J25)</f>
        <v>329758.36686027783</v>
      </c>
      <c r="J26" s="36">
        <f>IF(A25&gt;=Inputs!$B$18,NA(),(J25+12*E26)*(1+Inputs!$B$10))</f>
        <v>367200.09081368055</v>
      </c>
      <c r="K26" s="25">
        <f>IF(A25&gt;=Inputs!$B$18,NA(),IF(B26&lt;57,H26-J26,IF(B26&lt;58,90%*H26,H26)))</f>
        <v>1196577.3693175167</v>
      </c>
      <c r="L26" s="34">
        <f>IF(C26&lt;Inputs!$B$6,Inputs!$B$9*(Inputs!$B$7-Inputs!$B$8),Inputs!$B$6*(Inputs!$B$7-Inputs!$B$8))</f>
        <v>1249.4999999999998</v>
      </c>
      <c r="M26" s="38">
        <f>IF(A25&gt;=Inputs!$B$18,NA(),K26/H26)</f>
        <v>0.7651839215134401</v>
      </c>
      <c r="N26" s="19">
        <f>IF(A25&gt;=Inputs!$B$18,"",O25)</f>
        <v>190923.59999999995</v>
      </c>
      <c r="O26" s="19">
        <f>IF(A25&gt;=Inputs!$B$18,"",O25+12*L26)</f>
        <v>205917.59999999995</v>
      </c>
      <c r="P26" s="19">
        <f>IF(A25&gt;=Inputs!$B$18,"",12*IF(C26&lt;Inputs!$B$6,1.61%*C26,1.61%*Inputs!$B$6))</f>
        <v>2898</v>
      </c>
    </row>
    <row r="27" spans="1:16" ht="14.25">
      <c r="A27" s="29">
        <f>IF(A26&gt;=Inputs!$B$18,"",A26+1)</f>
        <v>49</v>
      </c>
      <c r="B27" s="11">
        <f>IF(A26&gt;=Inputs!$B$18,NA(),B26+1)</f>
        <v>49</v>
      </c>
      <c r="C27" s="21">
        <f>IF(A26&gt;=Inputs!$B$18,"",C26*(1+Inputs!$B$17))</f>
        <v>16262.352851683232</v>
      </c>
      <c r="D27" s="26">
        <f>IF(B27&gt;Inputs!$B$19,0,IF(C27&lt;Inputs!$B$6,(C27*Inputs!$B$7),IF(Inputs!$B$15=Inputs!$B$12,(C27*Inputs!$B$7),IF(Inputs!$B$15=Inputs!$B$13,(C27*Inputs!$B$7),IF(Inputs!$B$15=Inputs!$B$14,(Inputs!$B$6*Inputs!$B$7),0)))))</f>
        <v>1951.4823422019879</v>
      </c>
      <c r="E27" s="26">
        <f>IF(B27&gt;Inputs!$B$19,0,IF(C27&lt;Inputs!$B$6,(C27*Inputs!$B$8),IF(Inputs!$B$15=Inputs!$B$12,(C27*Inputs!$B$7)-(Inputs!$B$6*(Inputs!$B$7-Inputs!$B$8)),IF(Inputs!$B$15=Inputs!$B$13,(Inputs!$B$6*Inputs!$B$8),IF(Inputs!$B$15=Inputs!$B$14,(Inputs!$B$6*Inputs!$B$8),0)))))</f>
        <v>701.9823422019881</v>
      </c>
      <c r="F27" s="25">
        <f>IF(B27&gt;Inputs!$B$19,0,IF(C27&lt;Inputs!$B$6,(C27*Inputs!$B$7)+(C27*Inputs!$B$8),IF(Inputs!$B$15=Inputs!$B$12,(C27*Inputs!$B$7)+(C27*Inputs!$B$7)-(Inputs!$B$6*(Inputs!$B$7-Inputs!$B$8)),IF(Inputs!$B$15=Inputs!$B$13,(C27*Inputs!$B$7)+(Inputs!$B$6*Inputs!$B$8),IF(Inputs!$B$15=Inputs!$B$14,(Inputs!$B$6*Inputs!$B$7)+(Inputs!$B$6*Inputs!$B$8),0)))))</f>
        <v>2653.464684403976</v>
      </c>
      <c r="G27" s="29">
        <f>IF(A26&gt;=Inputs!$B$18,"",H26)</f>
        <v>1563777.4601311972</v>
      </c>
      <c r="H27" s="25">
        <f>IF(A26&gt;=Inputs!$B$18,"",(H26+12*F27)*(1+Inputs!$B$10))</f>
        <v>1736033.511542321</v>
      </c>
      <c r="I27" s="25">
        <f>IF(A26&gt;=Inputs!$B$18,"",J26)</f>
        <v>367200.09081368055</v>
      </c>
      <c r="J27" s="36">
        <f>IF(A26&gt;=Inputs!$B$18,NA(),(J26+12*E27)*(1+Inputs!$B$10))</f>
        <v>408678.78026507364</v>
      </c>
      <c r="K27" s="25">
        <f>IF(A26&gt;=Inputs!$B$18,NA(),IF(B27&lt;57,H27-J27,IF(B27&lt;58,90%*H27,H27)))</f>
        <v>1327354.7312772474</v>
      </c>
      <c r="L27" s="34">
        <f>IF(C27&lt;Inputs!$B$6,Inputs!$B$9*(Inputs!$B$7-Inputs!$B$8),Inputs!$B$6*(Inputs!$B$7-Inputs!$B$8))</f>
        <v>1249.4999999999998</v>
      </c>
      <c r="M27" s="38">
        <f>IF(A26&gt;=Inputs!$B$18,NA(),K27/H27)</f>
        <v>0.764590500386138</v>
      </c>
      <c r="N27" s="19">
        <f>IF(A26&gt;=Inputs!$B$18,"",O26)</f>
        <v>205917.59999999995</v>
      </c>
      <c r="O27" s="19">
        <f>IF(A26&gt;=Inputs!$B$18,"",O26+12*L27)</f>
        <v>220911.59999999995</v>
      </c>
      <c r="P27" s="19">
        <f>IF(A26&gt;=Inputs!$B$18,"",12*IF(C27&lt;Inputs!$B$6,1.61%*C27,1.61%*Inputs!$B$6))</f>
        <v>2898</v>
      </c>
    </row>
    <row r="28" spans="1:16" ht="14.25">
      <c r="A28" s="29">
        <f>IF(A27&gt;=Inputs!$B$18,"",A27+1)</f>
        <v>50</v>
      </c>
      <c r="B28" s="11">
        <f>IF(A27&gt;=Inputs!$B$18,NA(),B27+1)</f>
        <v>50</v>
      </c>
      <c r="C28" s="21">
        <f>IF(A27&gt;=Inputs!$B$18,"",C27*(1+Inputs!$B$17))</f>
        <v>16750.22343723373</v>
      </c>
      <c r="D28" s="26">
        <f>IF(B28&gt;Inputs!$B$19,0,IF(C28&lt;Inputs!$B$6,(C28*Inputs!$B$7),IF(Inputs!$B$15=Inputs!$B$12,(C28*Inputs!$B$7),IF(Inputs!$B$15=Inputs!$B$13,(C28*Inputs!$B$7),IF(Inputs!$B$15=Inputs!$B$14,(Inputs!$B$6*Inputs!$B$7),0)))))</f>
        <v>2010.0268124680474</v>
      </c>
      <c r="E28" s="26">
        <f>IF(B28&gt;Inputs!$B$19,0,IF(C28&lt;Inputs!$B$6,(C28*Inputs!$B$8),IF(Inputs!$B$15=Inputs!$B$12,(C28*Inputs!$B$7)-(Inputs!$B$6*(Inputs!$B$7-Inputs!$B$8)),IF(Inputs!$B$15=Inputs!$B$13,(Inputs!$B$6*Inputs!$B$8),IF(Inputs!$B$15=Inputs!$B$14,(Inputs!$B$6*Inputs!$B$8),0)))))</f>
        <v>760.5268124680476</v>
      </c>
      <c r="F28" s="25">
        <f>IF(B28&gt;Inputs!$B$19,0,IF(C28&lt;Inputs!$B$6,(C28*Inputs!$B$7)+(C28*Inputs!$B$8),IF(Inputs!$B$15=Inputs!$B$12,(C28*Inputs!$B$7)+(C28*Inputs!$B$7)-(Inputs!$B$6*(Inputs!$B$7-Inputs!$B$8)),IF(Inputs!$B$15=Inputs!$B$13,(C28*Inputs!$B$7)+(Inputs!$B$6*Inputs!$B$8),IF(Inputs!$B$15=Inputs!$B$14,(Inputs!$B$6*Inputs!$B$7)+(Inputs!$B$6*Inputs!$B$8),0)))))</f>
        <v>2770.553624936095</v>
      </c>
      <c r="G28" s="29">
        <f>IF(A27&gt;=Inputs!$B$18,"",H27)</f>
        <v>1736033.511542321</v>
      </c>
      <c r="H28" s="25">
        <f>IF(A27&gt;=Inputs!$B$18,"",(H27+12*F28)*(1+Inputs!$B$10))</f>
        <v>1924976.808685211</v>
      </c>
      <c r="I28" s="25">
        <f>IF(A27&gt;=Inputs!$B$18,"",J27)</f>
        <v>408678.78026507364</v>
      </c>
      <c r="J28" s="36">
        <f>IF(A27&gt;=Inputs!$B$18,NA(),(J27+12*E28)*(1+Inputs!$B$10))</f>
        <v>454571.950991983</v>
      </c>
      <c r="K28" s="25">
        <f>IF(A27&gt;=Inputs!$B$18,NA(),IF(B28&lt;57,H28-J28,IF(B28&lt;58,90%*H28,H28)))</f>
        <v>1470404.857693228</v>
      </c>
      <c r="L28" s="34">
        <f>IF(C28&lt;Inputs!$B$6,Inputs!$B$9*(Inputs!$B$7-Inputs!$B$8),Inputs!$B$6*(Inputs!$B$7-Inputs!$B$8))</f>
        <v>1249.4999999999998</v>
      </c>
      <c r="M28" s="38">
        <f>IF(A27&gt;=Inputs!$B$18,NA(),K28/H28)</f>
        <v>0.7638558818262009</v>
      </c>
      <c r="N28" s="19">
        <f>IF(A27&gt;=Inputs!$B$18,"",O27)</f>
        <v>220911.59999999995</v>
      </c>
      <c r="O28" s="19">
        <f>IF(A27&gt;=Inputs!$B$18,"",O27+12*L28)</f>
        <v>235905.59999999995</v>
      </c>
      <c r="P28" s="19">
        <f>IF(A27&gt;=Inputs!$B$18,"",12*IF(C28&lt;Inputs!$B$6,1.61%*C28,1.61%*Inputs!$B$6))</f>
        <v>2898</v>
      </c>
    </row>
    <row r="29" spans="1:16" ht="14.25">
      <c r="A29" s="29">
        <f>IF(A28&gt;=Inputs!$B$18,"",A28+1)</f>
        <v>51</v>
      </c>
      <c r="B29" s="11">
        <f>IF(A28&gt;=Inputs!$B$18,NA(),B28+1)</f>
        <v>51</v>
      </c>
      <c r="C29" s="21">
        <f>IF(A28&gt;=Inputs!$B$18,"",C28*(1+Inputs!$B$17))</f>
        <v>17252.73014035074</v>
      </c>
      <c r="D29" s="26">
        <f>IF(B29&gt;Inputs!$B$19,0,IF(C29&lt;Inputs!$B$6,(C29*Inputs!$B$7),IF(Inputs!$B$15=Inputs!$B$12,(C29*Inputs!$B$7),IF(Inputs!$B$15=Inputs!$B$13,(C29*Inputs!$B$7),IF(Inputs!$B$15=Inputs!$B$14,(Inputs!$B$6*Inputs!$B$7),0)))))</f>
        <v>2070.327616842089</v>
      </c>
      <c r="E29" s="26">
        <f>IF(B29&gt;Inputs!$B$19,0,IF(C29&lt;Inputs!$B$6,(C29*Inputs!$B$8),IF(Inputs!$B$15=Inputs!$B$12,(C29*Inputs!$B$7)-(Inputs!$B$6*(Inputs!$B$7-Inputs!$B$8)),IF(Inputs!$B$15=Inputs!$B$13,(Inputs!$B$6*Inputs!$B$8),IF(Inputs!$B$15=Inputs!$B$14,(Inputs!$B$6*Inputs!$B$8),0)))))</f>
        <v>820.8276168420891</v>
      </c>
      <c r="F29" s="25">
        <f>IF(B29&gt;Inputs!$B$19,0,IF(C29&lt;Inputs!$B$6,(C29*Inputs!$B$7)+(C29*Inputs!$B$8),IF(Inputs!$B$15=Inputs!$B$12,(C29*Inputs!$B$7)+(C29*Inputs!$B$7)-(Inputs!$B$6*(Inputs!$B$7-Inputs!$B$8)),IF(Inputs!$B$15=Inputs!$B$13,(C29*Inputs!$B$7)+(Inputs!$B$6*Inputs!$B$8),IF(Inputs!$B$15=Inputs!$B$14,(Inputs!$B$6*Inputs!$B$7)+(Inputs!$B$6*Inputs!$B$8),0)))))</f>
        <v>2891.155233684178</v>
      </c>
      <c r="G29" s="29">
        <f>IF(A28&gt;=Inputs!$B$18,"",H28)</f>
        <v>1924976.808685211</v>
      </c>
      <c r="H29" s="25">
        <f>IF(A28&gt;=Inputs!$B$18,"",(H28+12*F29)*(1+Inputs!$B$10))</f>
        <v>2132121.69058049</v>
      </c>
      <c r="I29" s="25">
        <f>IF(A28&gt;=Inputs!$B$18,"",J28)</f>
        <v>454571.950991983</v>
      </c>
      <c r="J29" s="36">
        <f>IF(A28&gt;=Inputs!$B$18,NA(),(J28+12*E29)*(1+Inputs!$B$10))</f>
        <v>505291.0080447679</v>
      </c>
      <c r="K29" s="25">
        <f>IF(A28&gt;=Inputs!$B$18,NA(),IF(B29&lt;57,H29-J29,IF(B29&lt;58,90%*H29,H29)))</f>
        <v>1626830.6825357222</v>
      </c>
      <c r="L29" s="34">
        <f>IF(C29&lt;Inputs!$B$6,Inputs!$B$9*(Inputs!$B$7-Inputs!$B$8),Inputs!$B$6*(Inputs!$B$7-Inputs!$B$8))</f>
        <v>1249.4999999999998</v>
      </c>
      <c r="M29" s="38">
        <f>IF(A28&gt;=Inputs!$B$18,NA(),K29/H29)</f>
        <v>0.7630102398577457</v>
      </c>
      <c r="N29" s="19">
        <f>IF(A28&gt;=Inputs!$B$18,"",O28)</f>
        <v>235905.59999999995</v>
      </c>
      <c r="O29" s="19">
        <f>IF(A28&gt;=Inputs!$B$18,"",O28+12*L29)</f>
        <v>250899.59999999995</v>
      </c>
      <c r="P29" s="19">
        <f>IF(A28&gt;=Inputs!$B$18,"",12*IF(C29&lt;Inputs!$B$6,1.61%*C29,1.61%*Inputs!$B$6))</f>
        <v>2898</v>
      </c>
    </row>
    <row r="30" spans="1:16" ht="14.25">
      <c r="A30" s="29">
        <f>IF(A29&gt;=Inputs!$B$18,"",A29+1)</f>
        <v>52</v>
      </c>
      <c r="B30" s="11">
        <f>IF(A29&gt;=Inputs!$B$18,NA(),B29+1)</f>
        <v>52</v>
      </c>
      <c r="C30" s="21">
        <f>IF(A29&gt;=Inputs!$B$18,"",C29*(1+Inputs!$B$17))</f>
        <v>17770.312044561262</v>
      </c>
      <c r="D30" s="26">
        <f>IF(B30&gt;Inputs!$B$19,0,IF(C30&lt;Inputs!$B$6,(C30*Inputs!$B$7),IF(Inputs!$B$15=Inputs!$B$12,(C30*Inputs!$B$7),IF(Inputs!$B$15=Inputs!$B$13,(C30*Inputs!$B$7),IF(Inputs!$B$15=Inputs!$B$14,(Inputs!$B$6*Inputs!$B$7),0)))))</f>
        <v>2132.4374453473515</v>
      </c>
      <c r="E30" s="26">
        <f>IF(B30&gt;Inputs!$B$19,0,IF(C30&lt;Inputs!$B$6,(C30*Inputs!$B$8),IF(Inputs!$B$15=Inputs!$B$12,(C30*Inputs!$B$7)-(Inputs!$B$6*(Inputs!$B$7-Inputs!$B$8)),IF(Inputs!$B$15=Inputs!$B$13,(Inputs!$B$6*Inputs!$B$8),IF(Inputs!$B$15=Inputs!$B$14,(Inputs!$B$6*Inputs!$B$8),0)))))</f>
        <v>882.9374453473517</v>
      </c>
      <c r="F30" s="25">
        <f>IF(B30&gt;Inputs!$B$19,0,IF(C30&lt;Inputs!$B$6,(C30*Inputs!$B$7)+(C30*Inputs!$B$8),IF(Inputs!$B$15=Inputs!$B$12,(C30*Inputs!$B$7)+(C30*Inputs!$B$7)-(Inputs!$B$6*(Inputs!$B$7-Inputs!$B$8)),IF(Inputs!$B$15=Inputs!$B$13,(C30*Inputs!$B$7)+(Inputs!$B$6*Inputs!$B$8),IF(Inputs!$B$15=Inputs!$B$14,(Inputs!$B$6*Inputs!$B$7)+(Inputs!$B$6*Inputs!$B$8),0)))))</f>
        <v>3015.374890694703</v>
      </c>
      <c r="G30" s="29">
        <f>IF(A29&gt;=Inputs!$B$18,"",H29)</f>
        <v>2132121.69058049</v>
      </c>
      <c r="H30" s="25">
        <f>IF(A29&gt;=Inputs!$B$18,"",(H29+12*F30)*(1+Inputs!$B$10))</f>
        <v>2359117.1339244833</v>
      </c>
      <c r="I30" s="25">
        <f>IF(A29&gt;=Inputs!$B$18,"",J29)</f>
        <v>505291.0080447679</v>
      </c>
      <c r="J30" s="36">
        <f>IF(A29&gt;=Inputs!$B$18,NA(),(J29+12*E30)*(1+Inputs!$B$10))</f>
        <v>561284.2480391625</v>
      </c>
      <c r="K30" s="25">
        <f>IF(A29&gt;=Inputs!$B$18,NA(),IF(B30&lt;57,H30-J30,IF(B30&lt;58,90%*H30,H30)))</f>
        <v>1797832.8858853208</v>
      </c>
      <c r="L30" s="34">
        <f>IF(C30&lt;Inputs!$B$6,Inputs!$B$9*(Inputs!$B$7-Inputs!$B$8),Inputs!$B$6*(Inputs!$B$7-Inputs!$B$8))</f>
        <v>1249.4999999999998</v>
      </c>
      <c r="M30" s="38">
        <f>IF(A29&gt;=Inputs!$B$18,NA(),K30/H30)</f>
        <v>0.7620786861458446</v>
      </c>
      <c r="N30" s="19">
        <f>IF(A29&gt;=Inputs!$B$18,"",O29)</f>
        <v>250899.59999999995</v>
      </c>
      <c r="O30" s="19">
        <f>IF(A29&gt;=Inputs!$B$18,"",O29+12*L30)</f>
        <v>265893.5999999999</v>
      </c>
      <c r="P30" s="19">
        <f>IF(A29&gt;=Inputs!$B$18,"",12*IF(C30&lt;Inputs!$B$6,1.61%*C30,1.61%*Inputs!$B$6))</f>
        <v>2898</v>
      </c>
    </row>
    <row r="31" spans="1:16" ht="14.25">
      <c r="A31" s="29">
        <f>IF(A30&gt;=Inputs!$B$18,"",A30+1)</f>
        <v>53</v>
      </c>
      <c r="B31" s="11">
        <f>IF(A30&gt;=Inputs!$B$18,NA(),B30+1)</f>
        <v>53</v>
      </c>
      <c r="C31" s="21">
        <f>IF(A30&gt;=Inputs!$B$18,"",C30*(1+Inputs!$B$17))</f>
        <v>18303.4214058981</v>
      </c>
      <c r="D31" s="26">
        <f>IF(B31&gt;Inputs!$B$19,0,IF(C31&lt;Inputs!$B$6,(C31*Inputs!$B$7),IF(Inputs!$B$15=Inputs!$B$12,(C31*Inputs!$B$7),IF(Inputs!$B$15=Inputs!$B$13,(C31*Inputs!$B$7),IF(Inputs!$B$15=Inputs!$B$14,(Inputs!$B$6*Inputs!$B$7),0)))))</f>
        <v>2196.410568707772</v>
      </c>
      <c r="E31" s="26">
        <f>IF(B31&gt;Inputs!$B$19,0,IF(C31&lt;Inputs!$B$6,(C31*Inputs!$B$8),IF(Inputs!$B$15=Inputs!$B$12,(C31*Inputs!$B$7)-(Inputs!$B$6*(Inputs!$B$7-Inputs!$B$8)),IF(Inputs!$B$15=Inputs!$B$13,(Inputs!$B$6*Inputs!$B$8),IF(Inputs!$B$15=Inputs!$B$14,(Inputs!$B$6*Inputs!$B$8),0)))))</f>
        <v>946.9105687077724</v>
      </c>
      <c r="F31" s="25">
        <f>IF(B31&gt;Inputs!$B$19,0,IF(C31&lt;Inputs!$B$6,(C31*Inputs!$B$7)+(C31*Inputs!$B$8),IF(Inputs!$B$15=Inputs!$B$12,(C31*Inputs!$B$7)+(C31*Inputs!$B$7)-(Inputs!$B$6*(Inputs!$B$7-Inputs!$B$8)),IF(Inputs!$B$15=Inputs!$B$13,(C31*Inputs!$B$7)+(Inputs!$B$6*Inputs!$B$8),IF(Inputs!$B$15=Inputs!$B$14,(Inputs!$B$6*Inputs!$B$7)+(Inputs!$B$6*Inputs!$B$8),0)))))</f>
        <v>3143.3211374155444</v>
      </c>
      <c r="G31" s="29">
        <f>IF(A30&gt;=Inputs!$B$18,"",H30)</f>
        <v>2359117.1339244833</v>
      </c>
      <c r="H31" s="25">
        <f>IF(A30&gt;=Inputs!$B$18,"",(H30+12*F31)*(1+Inputs!$B$10))</f>
        <v>2607758.6424799357</v>
      </c>
      <c r="I31" s="25">
        <f>IF(A30&gt;=Inputs!$B$18,"",J30)</f>
        <v>561284.2480391625</v>
      </c>
      <c r="J31" s="36">
        <f>IF(A30&gt;=Inputs!$B$18,NA(),(J30+12*E31)*(1+Inputs!$B$10))</f>
        <v>623040.1262516575</v>
      </c>
      <c r="K31" s="25">
        <f>IF(A30&gt;=Inputs!$B$18,NA(),IF(B31&lt;57,H31-J31,IF(B31&lt;58,90%*H31,H31)))</f>
        <v>1984718.5162282782</v>
      </c>
      <c r="L31" s="34">
        <f>IF(C31&lt;Inputs!$B$6,Inputs!$B$9*(Inputs!$B$7-Inputs!$B$8),Inputs!$B$6*(Inputs!$B$7-Inputs!$B$8))</f>
        <v>1249.4999999999998</v>
      </c>
      <c r="M31" s="38">
        <f>IF(A30&gt;=Inputs!$B$18,NA(),K31/H31)</f>
        <v>0.761082135400707</v>
      </c>
      <c r="N31" s="19">
        <f>IF(A30&gt;=Inputs!$B$18,"",O30)</f>
        <v>265893.5999999999</v>
      </c>
      <c r="O31" s="19">
        <f>IF(A30&gt;=Inputs!$B$18,"",O30+12*L31)</f>
        <v>280887.5999999999</v>
      </c>
      <c r="P31" s="19">
        <f>IF(A30&gt;=Inputs!$B$18,"",12*IF(C31&lt;Inputs!$B$6,1.61%*C31,1.61%*Inputs!$B$6))</f>
        <v>2898</v>
      </c>
    </row>
    <row r="32" spans="1:16" ht="14.25">
      <c r="A32" s="29">
        <f>IF(A31&gt;=Inputs!$B$18,"",A31+1)</f>
        <v>54</v>
      </c>
      <c r="B32" s="11">
        <f>IF(A31&gt;=Inputs!$B$18,NA(),B31+1)</f>
        <v>54</v>
      </c>
      <c r="C32" s="21">
        <f>IF(A31&gt;=Inputs!$B$18,"",C31*(1+Inputs!$B$17))</f>
        <v>18852.524048075044</v>
      </c>
      <c r="D32" s="26">
        <f>IF(B32&gt;Inputs!$B$19,0,IF(C32&lt;Inputs!$B$6,(C32*Inputs!$B$7),IF(Inputs!$B$15=Inputs!$B$12,(C32*Inputs!$B$7),IF(Inputs!$B$15=Inputs!$B$13,(C32*Inputs!$B$7),IF(Inputs!$B$15=Inputs!$B$14,(Inputs!$B$6*Inputs!$B$7),0)))))</f>
        <v>2262.302885769005</v>
      </c>
      <c r="E32" s="26">
        <f>IF(B32&gt;Inputs!$B$19,0,IF(C32&lt;Inputs!$B$6,(C32*Inputs!$B$8),IF(Inputs!$B$15=Inputs!$B$12,(C32*Inputs!$B$7)-(Inputs!$B$6*(Inputs!$B$7-Inputs!$B$8)),IF(Inputs!$B$15=Inputs!$B$13,(Inputs!$B$6*Inputs!$B$8),IF(Inputs!$B$15=Inputs!$B$14,(Inputs!$B$6*Inputs!$B$8),0)))))</f>
        <v>1012.8028857690053</v>
      </c>
      <c r="F32" s="25">
        <f>IF(B32&gt;Inputs!$B$19,0,IF(C32&lt;Inputs!$B$6,(C32*Inputs!$B$7)+(C32*Inputs!$B$8),IF(Inputs!$B$15=Inputs!$B$12,(C32*Inputs!$B$7)+(C32*Inputs!$B$7)-(Inputs!$B$6*(Inputs!$B$7-Inputs!$B$8)),IF(Inputs!$B$15=Inputs!$B$13,(C32*Inputs!$B$7)+(Inputs!$B$6*Inputs!$B$8),IF(Inputs!$B$15=Inputs!$B$14,(Inputs!$B$6*Inputs!$B$7)+(Inputs!$B$6*Inputs!$B$8),0)))))</f>
        <v>3275.1057715380102</v>
      </c>
      <c r="G32" s="29">
        <f>IF(A31&gt;=Inputs!$B$18,"",H31)</f>
        <v>2607758.6424799357</v>
      </c>
      <c r="H32" s="25">
        <f>IF(A31&gt;=Inputs!$B$18,"",(H31+12*F32)*(1+Inputs!$B$10))</f>
        <v>2880001.1839713706</v>
      </c>
      <c r="I32" s="25">
        <f>IF(A31&gt;=Inputs!$B$18,"",J31)</f>
        <v>623040.1262516575</v>
      </c>
      <c r="J32" s="36">
        <f>IF(A31&gt;=Inputs!$B$18,NA(),(J31+12*E32)*(1+Inputs!$B$10))</f>
        <v>691090.8118384035</v>
      </c>
      <c r="K32" s="25">
        <f>IF(A31&gt;=Inputs!$B$18,NA(),IF(B32&lt;57,H32-J32,IF(B32&lt;58,90%*H32,H32)))</f>
        <v>2188910.372132967</v>
      </c>
      <c r="L32" s="34">
        <f>IF(C32&lt;Inputs!$B$6,Inputs!$B$9*(Inputs!$B$7-Inputs!$B$8),Inputs!$B$6*(Inputs!$B$7-Inputs!$B$8))</f>
        <v>1249.4999999999998</v>
      </c>
      <c r="M32" s="38">
        <f>IF(A31&gt;=Inputs!$B$18,NA(),K32/H32)</f>
        <v>0.7600380112047643</v>
      </c>
      <c r="N32" s="19">
        <f>IF(A31&gt;=Inputs!$B$18,"",O31)</f>
        <v>280887.5999999999</v>
      </c>
      <c r="O32" s="19">
        <f>IF(A31&gt;=Inputs!$B$18,"",O31+12*L32)</f>
        <v>295881.5999999999</v>
      </c>
      <c r="P32" s="19">
        <f>IF(A31&gt;=Inputs!$B$18,"",12*IF(C32&lt;Inputs!$B$6,1.61%*C32,1.61%*Inputs!$B$6))</f>
        <v>2898</v>
      </c>
    </row>
    <row r="33" spans="1:16" ht="14.25">
      <c r="A33" s="29">
        <f>IF(A32&gt;=Inputs!$B$18,"",A32+1)</f>
        <v>55</v>
      </c>
      <c r="B33" s="11">
        <f>IF(A32&gt;=Inputs!$B$18,NA(),B32+1)</f>
        <v>55</v>
      </c>
      <c r="C33" s="21">
        <f>IF(A32&gt;=Inputs!$B$18,"",C32*(1+Inputs!$B$17))</f>
        <v>19418.099769517295</v>
      </c>
      <c r="D33" s="26">
        <f>IF(B33&gt;Inputs!$B$19,0,IF(C33&lt;Inputs!$B$6,(C33*Inputs!$B$7),IF(Inputs!$B$15=Inputs!$B$12,(C33*Inputs!$B$7),IF(Inputs!$B$15=Inputs!$B$13,(C33*Inputs!$B$7),IF(Inputs!$B$15=Inputs!$B$14,(Inputs!$B$6*Inputs!$B$7),0)))))</f>
        <v>2330.171972342075</v>
      </c>
      <c r="E33" s="26">
        <f>IF(B33&gt;Inputs!$B$19,0,IF(C33&lt;Inputs!$B$6,(C33*Inputs!$B$8),IF(Inputs!$B$15=Inputs!$B$12,(C33*Inputs!$B$7)-(Inputs!$B$6*(Inputs!$B$7-Inputs!$B$8)),IF(Inputs!$B$15=Inputs!$B$13,(Inputs!$B$6*Inputs!$B$8),IF(Inputs!$B$15=Inputs!$B$14,(Inputs!$B$6*Inputs!$B$8),0)))))</f>
        <v>1080.6719723420754</v>
      </c>
      <c r="F33" s="25">
        <f>IF(B33&gt;Inputs!$B$19,0,IF(C33&lt;Inputs!$B$6,(C33*Inputs!$B$7)+(C33*Inputs!$B$8),IF(Inputs!$B$15=Inputs!$B$12,(C33*Inputs!$B$7)+(C33*Inputs!$B$7)-(Inputs!$B$6*(Inputs!$B$7-Inputs!$B$8)),IF(Inputs!$B$15=Inputs!$B$13,(C33*Inputs!$B$7)+(Inputs!$B$6*Inputs!$B$8),IF(Inputs!$B$15=Inputs!$B$14,(Inputs!$B$6*Inputs!$B$7)+(Inputs!$B$6*Inputs!$B$8),0)))))</f>
        <v>3410.8439446841503</v>
      </c>
      <c r="G33" s="29">
        <f>IF(A32&gt;=Inputs!$B$18,"",H32)</f>
        <v>2880001.1839713706</v>
      </c>
      <c r="H33" s="25">
        <f>IF(A32&gt;=Inputs!$B$18,"",(H32+12*F33)*(1+Inputs!$B$10))</f>
        <v>3177973.2667026473</v>
      </c>
      <c r="I33" s="25">
        <f>IF(A32&gt;=Inputs!$B$18,"",J32)</f>
        <v>691090.8118384035</v>
      </c>
      <c r="J33" s="36">
        <f>IF(A32&gt;=Inputs!$B$18,NA(),(J32+12*E33)*(1+Inputs!$B$10))</f>
        <v>766016.0565510812</v>
      </c>
      <c r="K33" s="25">
        <f>IF(A32&gt;=Inputs!$B$18,NA(),IF(B33&lt;57,H33-J33,IF(B33&lt;58,90%*H33,H33)))</f>
        <v>2411957.210151566</v>
      </c>
      <c r="L33" s="34">
        <f>IF(C33&lt;Inputs!$B$6,Inputs!$B$9*(Inputs!$B$7-Inputs!$B$8),Inputs!$B$6*(Inputs!$B$7-Inputs!$B$8))</f>
        <v>1249.4999999999998</v>
      </c>
      <c r="M33" s="38">
        <f>IF(A32&gt;=Inputs!$B$18,NA(),K33/H33)</f>
        <v>0.7589608243162246</v>
      </c>
      <c r="N33" s="19">
        <f>IF(A32&gt;=Inputs!$B$18,"",O32)</f>
        <v>295881.5999999999</v>
      </c>
      <c r="O33" s="19">
        <f>IF(A32&gt;=Inputs!$B$18,"",O32+12*L33)</f>
        <v>310875.5999999999</v>
      </c>
      <c r="P33" s="19">
        <f>IF(A32&gt;=Inputs!$B$18,"",12*IF(C33&lt;Inputs!$B$6,1.61%*C33,1.61%*Inputs!$B$6))</f>
        <v>2898</v>
      </c>
    </row>
    <row r="34" spans="1:16" ht="14.25">
      <c r="A34" s="29">
        <f>IF(A33&gt;=Inputs!$B$18,"",A33+1)</f>
        <v>56</v>
      </c>
      <c r="B34" s="11">
        <f>IF(A33&gt;=Inputs!$B$18,NA(),B33+1)</f>
        <v>56</v>
      </c>
      <c r="C34" s="21">
        <f>IF(A33&gt;=Inputs!$B$18,"",C33*(1+Inputs!$B$17))</f>
        <v>20000.642762602816</v>
      </c>
      <c r="D34" s="26">
        <f>IF(B34&gt;Inputs!$B$19,0,IF(C34&lt;Inputs!$B$6,(C34*Inputs!$B$7),IF(Inputs!$B$15=Inputs!$B$12,(C34*Inputs!$B$7),IF(Inputs!$B$15=Inputs!$B$13,(C34*Inputs!$B$7),IF(Inputs!$B$15=Inputs!$B$14,(Inputs!$B$6*Inputs!$B$7),0)))))</f>
        <v>2400.077131512338</v>
      </c>
      <c r="E34" s="26">
        <f>IF(B34&gt;Inputs!$B$19,0,IF(C34&lt;Inputs!$B$6,(C34*Inputs!$B$8),IF(Inputs!$B$15=Inputs!$B$12,(C34*Inputs!$B$7)-(Inputs!$B$6*(Inputs!$B$7-Inputs!$B$8)),IF(Inputs!$B$15=Inputs!$B$13,(Inputs!$B$6*Inputs!$B$8),IF(Inputs!$B$15=Inputs!$B$14,(Inputs!$B$6*Inputs!$B$8),0)))))</f>
        <v>1150.5771315123382</v>
      </c>
      <c r="F34" s="25">
        <f>IF(B34&gt;Inputs!$B$19,0,IF(C34&lt;Inputs!$B$6,(C34*Inputs!$B$7)+(C34*Inputs!$B$8),IF(Inputs!$B$15=Inputs!$B$12,(C34*Inputs!$B$7)+(C34*Inputs!$B$7)-(Inputs!$B$6*(Inputs!$B$7-Inputs!$B$8)),IF(Inputs!$B$15=Inputs!$B$13,(C34*Inputs!$B$7)+(Inputs!$B$6*Inputs!$B$8),IF(Inputs!$B$15=Inputs!$B$14,(Inputs!$B$6*Inputs!$B$7)+(Inputs!$B$6*Inputs!$B$8),0)))))</f>
        <v>3550.654263024676</v>
      </c>
      <c r="G34" s="29">
        <f>IF(A33&gt;=Inputs!$B$18,"",H33)</f>
        <v>3177973.2667026473</v>
      </c>
      <c r="H34" s="25">
        <f>IF(A33&gt;=Inputs!$B$18,"",(H33+12*F34)*(1+Inputs!$B$10))</f>
        <v>3503992.256230531</v>
      </c>
      <c r="I34" s="25">
        <f>IF(A33&gt;=Inputs!$B$18,"",J33)</f>
        <v>766016.0565510812</v>
      </c>
      <c r="J34" s="36">
        <f>IF(A33&gt;=Inputs!$B$18,NA(),(J33+12*E34)*(1+Inputs!$B$10))</f>
        <v>848447.4045566015</v>
      </c>
      <c r="K34" s="25">
        <f>IF(A33&gt;=Inputs!$B$18,NA(),IF(B34&lt;57,H34-J34,IF(B34&lt;58,90%*H34,H34)))</f>
        <v>2655544.851673929</v>
      </c>
      <c r="L34" s="34">
        <f>IF(C34&lt;Inputs!$B$6,Inputs!$B$9*(Inputs!$B$7-Inputs!$B$8),Inputs!$B$6*(Inputs!$B$7-Inputs!$B$8))</f>
        <v>1249.4999999999998</v>
      </c>
      <c r="M34" s="38">
        <f>IF(A33&gt;=Inputs!$B$18,NA(),K34/H34)</f>
        <v>0.7578626485124339</v>
      </c>
      <c r="N34" s="19">
        <f>IF(A33&gt;=Inputs!$B$18,"",O33)</f>
        <v>310875.5999999999</v>
      </c>
      <c r="O34" s="19">
        <f>IF(A33&gt;=Inputs!$B$18,"",O33+12*L34)</f>
        <v>325869.5999999999</v>
      </c>
      <c r="P34" s="19">
        <f>IF(A33&gt;=Inputs!$B$18,"",12*IF(C34&lt;Inputs!$B$6,1.61%*C34,1.61%*Inputs!$B$6))</f>
        <v>2898</v>
      </c>
    </row>
    <row r="35" spans="1:16" ht="14.25">
      <c r="A35" s="29">
        <f>IF(A34&gt;=Inputs!$B$18,"",A34+1)</f>
        <v>57</v>
      </c>
      <c r="B35" s="11">
        <f>IF(A34&gt;=Inputs!$B$18,NA(),B34+1)</f>
        <v>57</v>
      </c>
      <c r="C35" s="21">
        <f>IF(A34&gt;=Inputs!$B$18,"",C34*(1+Inputs!$B$17))</f>
        <v>20600.6620454809</v>
      </c>
      <c r="D35" s="26">
        <f>IF(B35&gt;Inputs!$B$19,0,IF(C35&lt;Inputs!$B$6,(C35*Inputs!$B$7),IF(Inputs!$B$15=Inputs!$B$12,(C35*Inputs!$B$7),IF(Inputs!$B$15=Inputs!$B$13,(C35*Inputs!$B$7),IF(Inputs!$B$15=Inputs!$B$14,(Inputs!$B$6*Inputs!$B$7),0)))))</f>
        <v>2472.079445457708</v>
      </c>
      <c r="E35" s="26">
        <f>IF(B35&gt;Inputs!$B$19,0,IF(C35&lt;Inputs!$B$6,(C35*Inputs!$B$8),IF(Inputs!$B$15=Inputs!$B$12,(C35*Inputs!$B$7)-(Inputs!$B$6*(Inputs!$B$7-Inputs!$B$8)),IF(Inputs!$B$15=Inputs!$B$13,(Inputs!$B$6*Inputs!$B$8),IF(Inputs!$B$15=Inputs!$B$14,(Inputs!$B$6*Inputs!$B$8),0)))))</f>
        <v>1222.5794454577083</v>
      </c>
      <c r="F35" s="25">
        <f>IF(B35&gt;Inputs!$B$19,0,IF(C35&lt;Inputs!$B$6,(C35*Inputs!$B$7)+(C35*Inputs!$B$8),IF(Inputs!$B$15=Inputs!$B$12,(C35*Inputs!$B$7)+(C35*Inputs!$B$7)-(Inputs!$B$6*(Inputs!$B$7-Inputs!$B$8)),IF(Inputs!$B$15=Inputs!$B$13,(C35*Inputs!$B$7)+(Inputs!$B$6*Inputs!$B$8),IF(Inputs!$B$15=Inputs!$B$14,(Inputs!$B$6*Inputs!$B$7)+(Inputs!$B$6*Inputs!$B$8),0)))))</f>
        <v>3694.658890915416</v>
      </c>
      <c r="G35" s="29">
        <f>IF(A34&gt;=Inputs!$B$18,"",H34)</f>
        <v>3503992.256230531</v>
      </c>
      <c r="H35" s="25">
        <f>IF(A34&gt;=Inputs!$B$18,"",(H34+12*F35)*(1+Inputs!$B$10))</f>
        <v>3860581.0412586094</v>
      </c>
      <c r="I35" s="25">
        <f>IF(A34&gt;=Inputs!$B$18,"",J34)</f>
        <v>848447.4045566015</v>
      </c>
      <c r="J35" s="36">
        <f>IF(A34&gt;=Inputs!$B$18,NA(),(J34+12*E35)*(1+Inputs!$B$10))</f>
        <v>939072.7733974784</v>
      </c>
      <c r="K35" s="25">
        <f>IF(A34&gt;=Inputs!$B$18,NA(),IF(B35&lt;57,H35-J35,IF(B35&lt;58,90%*H35,H35)))</f>
        <v>3474522.9371327483</v>
      </c>
      <c r="L35" s="34">
        <f>IF(C35&lt;Inputs!$B$6,Inputs!$B$9*(Inputs!$B$7-Inputs!$B$8),Inputs!$B$6*(Inputs!$B$7-Inputs!$B$8))</f>
        <v>1249.4999999999998</v>
      </c>
      <c r="M35" s="38">
        <f>IF(A34&gt;=Inputs!$B$18,NA(),K35/H35)</f>
        <v>0.8999999999999999</v>
      </c>
      <c r="N35" s="19">
        <f>IF(A34&gt;=Inputs!$B$18,"",O34)</f>
        <v>325869.5999999999</v>
      </c>
      <c r="O35" s="19">
        <f>IF(A34&gt;=Inputs!$B$18,"",O34+12*L35)</f>
        <v>340863.5999999999</v>
      </c>
      <c r="P35" s="19">
        <f>IF(A34&gt;=Inputs!$B$18,"",12*IF(C35&lt;Inputs!$B$6,1.61%*C35,1.61%*Inputs!$B$6))</f>
        <v>2898</v>
      </c>
    </row>
    <row r="36" spans="1:16" ht="14.25">
      <c r="A36" s="29">
        <f>IF(A35&gt;=Inputs!$B$18,"",A35+1)</f>
        <v>58</v>
      </c>
      <c r="B36" s="11">
        <f>IF(A35&gt;=Inputs!$B$18,NA(),B35+1)</f>
        <v>58</v>
      </c>
      <c r="C36" s="21">
        <f>IF(A35&gt;=Inputs!$B$18,"",C35*(1+Inputs!$B$17))</f>
        <v>21218.68190684533</v>
      </c>
      <c r="D36" s="26">
        <f>IF(B36&gt;Inputs!$B$19,0,IF(C36&lt;Inputs!$B$6,(C36*Inputs!$B$7),IF(Inputs!$B$15=Inputs!$B$12,(C36*Inputs!$B$7),IF(Inputs!$B$15=Inputs!$B$13,(C36*Inputs!$B$7),IF(Inputs!$B$15=Inputs!$B$14,(Inputs!$B$6*Inputs!$B$7),0)))))</f>
        <v>2546.2418288214394</v>
      </c>
      <c r="E36" s="26">
        <f>IF(B36&gt;Inputs!$B$19,0,IF(C36&lt;Inputs!$B$6,(C36*Inputs!$B$8),IF(Inputs!$B$15=Inputs!$B$12,(C36*Inputs!$B$7)-(Inputs!$B$6*(Inputs!$B$7-Inputs!$B$8)),IF(Inputs!$B$15=Inputs!$B$13,(Inputs!$B$6*Inputs!$B$8),IF(Inputs!$B$15=Inputs!$B$14,(Inputs!$B$6*Inputs!$B$8),0)))))</f>
        <v>1296.7418288214396</v>
      </c>
      <c r="F36" s="25">
        <f>IF(B36&gt;Inputs!$B$19,0,IF(C36&lt;Inputs!$B$6,(C36*Inputs!$B$7)+(C36*Inputs!$B$8),IF(Inputs!$B$15=Inputs!$B$12,(C36*Inputs!$B$7)+(C36*Inputs!$B$7)-(Inputs!$B$6*(Inputs!$B$7-Inputs!$B$8)),IF(Inputs!$B$15=Inputs!$B$13,(C36*Inputs!$B$7)+(Inputs!$B$6*Inputs!$B$8),IF(Inputs!$B$15=Inputs!$B$14,(Inputs!$B$6*Inputs!$B$7)+(Inputs!$B$6*Inputs!$B$8),0)))))</f>
        <v>3842.983657642879</v>
      </c>
      <c r="G36" s="29">
        <f>IF(A35&gt;=Inputs!$B$18,"",H35)</f>
        <v>3860581.0412586094</v>
      </c>
      <c r="H36" s="25">
        <f>IF(A35&gt;=Inputs!$B$18,"",(H35+12*F36)*(1+Inputs!$B$10))</f>
        <v>4250486.167523553</v>
      </c>
      <c r="I36" s="25">
        <f>IF(A35&gt;=Inputs!$B$18,"",J35)</f>
        <v>939072.7733974784</v>
      </c>
      <c r="J36" s="36">
        <f>IF(A35&gt;=Inputs!$B$18,NA(),(J35+12*E36)*(1+Inputs!$B$10))</f>
        <v>1038641.4387735494</v>
      </c>
      <c r="K36" s="25">
        <f>IF(A35&gt;=Inputs!$B$18,NA(),IF(B36&lt;57,H36-J36,IF(B36&lt;58,90%*H36,H36)))</f>
        <v>4250486.167523553</v>
      </c>
      <c r="L36" s="34">
        <f>IF(C36&lt;Inputs!$B$6,Inputs!$B$9*(Inputs!$B$7-Inputs!$B$8),Inputs!$B$6*(Inputs!$B$7-Inputs!$B$8))</f>
        <v>1249.4999999999998</v>
      </c>
      <c r="M36" s="38">
        <f>IF(A35&gt;=Inputs!$B$18,NA(),K36/H36)</f>
        <v>1</v>
      </c>
      <c r="N36" s="19">
        <f>IF(A35&gt;=Inputs!$B$18,"",O35)</f>
        <v>340863.5999999999</v>
      </c>
      <c r="O36" s="19">
        <f>IF(A35&gt;=Inputs!$B$18,"",O35+12*L36)</f>
        <v>355857.5999999999</v>
      </c>
      <c r="P36" s="19">
        <f>IF(A35&gt;=Inputs!$B$18,"",12*IF(C36&lt;Inputs!$B$6,1.61%*C36,1.61%*Inputs!$B$6))</f>
        <v>2898</v>
      </c>
    </row>
    <row r="37" spans="1:16" ht="14.25">
      <c r="A37" s="29">
        <f>IF(A36&gt;=Inputs!$B$18,"",A36+1)</f>
        <v>59</v>
      </c>
      <c r="B37" s="11">
        <f>IF(A36&gt;=Inputs!$B$18,NA(),B36+1)</f>
        <v>59</v>
      </c>
      <c r="C37" s="21">
        <f>IF(A36&gt;=Inputs!$B$18,"",C36*(1+Inputs!$B$17))</f>
        <v>21855.24236405069</v>
      </c>
      <c r="D37" s="26">
        <f>IF(B37&gt;Inputs!$B$19,0,IF(C37&lt;Inputs!$B$6,(C37*Inputs!$B$7),IF(Inputs!$B$15=Inputs!$B$12,(C37*Inputs!$B$7),IF(Inputs!$B$15=Inputs!$B$13,(C37*Inputs!$B$7),IF(Inputs!$B$15=Inputs!$B$14,(Inputs!$B$6*Inputs!$B$7),0)))))</f>
        <v>2622.6290836860826</v>
      </c>
      <c r="E37" s="26">
        <f>IF(B37&gt;Inputs!$B$19,0,IF(C37&lt;Inputs!$B$6,(C37*Inputs!$B$8),IF(Inputs!$B$15=Inputs!$B$12,(C37*Inputs!$B$7)-(Inputs!$B$6*(Inputs!$B$7-Inputs!$B$8)),IF(Inputs!$B$15=Inputs!$B$13,(Inputs!$B$6*Inputs!$B$8),IF(Inputs!$B$15=Inputs!$B$14,(Inputs!$B$6*Inputs!$B$8),0)))))</f>
        <v>1373.1290836860828</v>
      </c>
      <c r="F37" s="25">
        <f>IF(B37&gt;Inputs!$B$19,0,IF(C37&lt;Inputs!$B$6,(C37*Inputs!$B$7)+(C37*Inputs!$B$8),IF(Inputs!$B$15=Inputs!$B$12,(C37*Inputs!$B$7)+(C37*Inputs!$B$7)-(Inputs!$B$6*(Inputs!$B$7-Inputs!$B$8)),IF(Inputs!$B$15=Inputs!$B$13,(C37*Inputs!$B$7)+(Inputs!$B$6*Inputs!$B$8),IF(Inputs!$B$15=Inputs!$B$14,(Inputs!$B$6*Inputs!$B$7)+(Inputs!$B$6*Inputs!$B$8),0)))))</f>
        <v>3995.758167372165</v>
      </c>
      <c r="G37" s="29">
        <f>IF(A36&gt;=Inputs!$B$18,"",H36)</f>
        <v>4250486.167523553</v>
      </c>
      <c r="H37" s="25">
        <f>IF(A36&gt;=Inputs!$B$18,"",(H36+12*F37)*(1+Inputs!$B$10))</f>
        <v>4676697.568898836</v>
      </c>
      <c r="I37" s="25">
        <f>IF(A36&gt;=Inputs!$B$18,"",J36)</f>
        <v>1038641.4387735494</v>
      </c>
      <c r="J37" s="36">
        <f>IF(A36&gt;=Inputs!$B$18,NA(),(J36+12*E37)*(1+Inputs!$B$10))</f>
        <v>1147969.4587022273</v>
      </c>
      <c r="K37" s="25">
        <f>IF(A36&gt;=Inputs!$B$18,NA(),IF(B37&lt;57,H37-J37,IF(B37&lt;58,90%*H37,H37)))</f>
        <v>4676697.568898836</v>
      </c>
      <c r="L37" s="34">
        <f>IF(C37&lt;Inputs!$B$6,Inputs!$B$9*(Inputs!$B$7-Inputs!$B$8),Inputs!$B$6*(Inputs!$B$7-Inputs!$B$8))</f>
        <v>1249.4999999999998</v>
      </c>
      <c r="M37" s="38">
        <f>IF(A36&gt;=Inputs!$B$18,NA(),K37/H37)</f>
        <v>1</v>
      </c>
      <c r="N37" s="19">
        <f>IF(A36&gt;=Inputs!$B$18,"",O36)</f>
        <v>355857.5999999999</v>
      </c>
      <c r="O37" s="19">
        <f>IF(A36&gt;=Inputs!$B$18,"",O36+12*L37)</f>
        <v>370851.5999999999</v>
      </c>
      <c r="P37" s="19">
        <f>IF(A36&gt;=Inputs!$B$18,"",12*IF(C37&lt;Inputs!$B$6,1.61%*C37,1.61%*Inputs!$B$6))</f>
        <v>2898</v>
      </c>
    </row>
    <row r="38" spans="1:16" ht="14.25">
      <c r="A38" s="29">
        <f>IF(A37&gt;=Inputs!$B$18,"",A37+1)</f>
        <v>60</v>
      </c>
      <c r="B38" s="11">
        <f>IF(A37&gt;=Inputs!$B$18,NA(),B37+1)</f>
        <v>60</v>
      </c>
      <c r="C38" s="21">
        <f>IF(A37&gt;=Inputs!$B$18,"",C37*(1+Inputs!$B$17))</f>
        <v>22510.89963497221</v>
      </c>
      <c r="D38" s="26">
        <f>IF(B38&gt;Inputs!$B$19,0,IF(C38&lt;Inputs!$B$6,(C38*Inputs!$B$7),IF(Inputs!$B$15=Inputs!$B$12,(C38*Inputs!$B$7),IF(Inputs!$B$15=Inputs!$B$13,(C38*Inputs!$B$7),IF(Inputs!$B$15=Inputs!$B$14,(Inputs!$B$6*Inputs!$B$7),0)))))</f>
        <v>2701.307956196665</v>
      </c>
      <c r="E38" s="26">
        <f>IF(B38&gt;Inputs!$B$19,0,IF(C38&lt;Inputs!$B$6,(C38*Inputs!$B$8),IF(Inputs!$B$15=Inputs!$B$12,(C38*Inputs!$B$7)-(Inputs!$B$6*(Inputs!$B$7-Inputs!$B$8)),IF(Inputs!$B$15=Inputs!$B$13,(Inputs!$B$6*Inputs!$B$8),IF(Inputs!$B$15=Inputs!$B$14,(Inputs!$B$6*Inputs!$B$8),0)))))</f>
        <v>1451.8079561966654</v>
      </c>
      <c r="F38" s="25">
        <f>IF(B38&gt;Inputs!$B$19,0,IF(C38&lt;Inputs!$B$6,(C38*Inputs!$B$7)+(C38*Inputs!$B$8),IF(Inputs!$B$15=Inputs!$B$12,(C38*Inputs!$B$7)+(C38*Inputs!$B$7)-(Inputs!$B$6*(Inputs!$B$7-Inputs!$B$8)),IF(Inputs!$B$15=Inputs!$B$13,(C38*Inputs!$B$7)+(Inputs!$B$6*Inputs!$B$8),IF(Inputs!$B$15=Inputs!$B$14,(Inputs!$B$6*Inputs!$B$7)+(Inputs!$B$6*Inputs!$B$8),0)))))</f>
        <v>4153.11591239333</v>
      </c>
      <c r="G38" s="29">
        <f>IF(A37&gt;=Inputs!$B$18,"",H37)</f>
        <v>4676697.568898836</v>
      </c>
      <c r="H38" s="25">
        <f>IF(A37&gt;=Inputs!$B$18,"",(H37+12*F38)*(1+Inputs!$B$10))</f>
        <v>5142470.036314142</v>
      </c>
      <c r="I38" s="25">
        <f>IF(A37&gt;=Inputs!$B$18,"",J37)</f>
        <v>1147969.4587022273</v>
      </c>
      <c r="J38" s="36">
        <f>IF(A37&gt;=Inputs!$B$18,NA(),(J37+12*E38)*(1+Inputs!$B$10))</f>
        <v>1267945.575744127</v>
      </c>
      <c r="K38" s="25">
        <f>IF(A37&gt;=Inputs!$B$18,NA(),IF(B38&lt;57,H38-J38,IF(B38&lt;58,90%*H38,H38)))</f>
        <v>5142470.036314142</v>
      </c>
      <c r="L38" s="34">
        <f>IF(C38&lt;Inputs!$B$6,Inputs!$B$9*(Inputs!$B$7-Inputs!$B$8),Inputs!$B$6*(Inputs!$B$7-Inputs!$B$8))</f>
        <v>1249.4999999999998</v>
      </c>
      <c r="M38" s="38">
        <f>IF(A37&gt;=Inputs!$B$18,NA(),K38/H38)</f>
        <v>1</v>
      </c>
      <c r="N38" s="19">
        <f>IF(A37&gt;=Inputs!$B$18,"",O37)</f>
        <v>370851.5999999999</v>
      </c>
      <c r="O38" s="19">
        <f>IF(A37&gt;=Inputs!$B$18,"",O37+12*L38)</f>
        <v>385845.5999999999</v>
      </c>
      <c r="P38" s="19">
        <f>IF(A37&gt;=Inputs!$B$18,"",12*IF(C38&lt;Inputs!$B$6,1.61%*C38,1.61%*Inputs!$B$6))</f>
        <v>2898</v>
      </c>
    </row>
    <row r="39" spans="1:16" ht="14.25">
      <c r="A39" s="29">
        <f>IF(A38&gt;=Inputs!$B$18,"",A38+1)</f>
      </c>
      <c r="B39" s="11" t="e">
        <f>IF(A38&gt;=Inputs!$B$18,NA(),B38+1)</f>
        <v>#N/A</v>
      </c>
      <c r="C39" s="21">
        <f>IF(A38&gt;=Inputs!$B$18,"",C38*(1+Inputs!$B$17))</f>
      </c>
      <c r="D39" s="26" t="e">
        <f>IF(B39&gt;Inputs!$B$19,0,IF(C39&lt;Inputs!$B$6,(C39*Inputs!$B$7),IF(Inputs!$B$15=Inputs!$B$12,(C39*Inputs!$B$7),IF(Inputs!$B$15=Inputs!$B$13,(C39*Inputs!$B$7),IF(Inputs!$B$15=Inputs!$B$14,(Inputs!$B$6*Inputs!$B$7),0)))))</f>
        <v>#N/A</v>
      </c>
      <c r="E39" s="26" t="e">
        <f>IF(B39&gt;Inputs!$B$19,0,IF(C39&lt;Inputs!$B$6,(C39*Inputs!$B$8),IF(Inputs!$B$15=Inputs!$B$12,(C39*Inputs!$B$7)-(Inputs!$B$6*(Inputs!$B$7-Inputs!$B$8)),IF(Inputs!$B$15=Inputs!$B$13,(Inputs!$B$6*Inputs!$B$8),IF(Inputs!$B$15=Inputs!$B$14,(Inputs!$B$6*Inputs!$B$8),0)))))</f>
        <v>#N/A</v>
      </c>
      <c r="F39" s="25" t="e">
        <f>IF(B39&gt;Inputs!$B$19,0,IF(C39&lt;Inputs!$B$6,(C39*Inputs!$B$7)+(C39*Inputs!$B$8),IF(Inputs!$B$15=Inputs!$B$12,(C39*Inputs!$B$7)+(C39*Inputs!$B$7)-(Inputs!$B$6*(Inputs!$B$7-Inputs!$B$8)),IF(Inputs!$B$15=Inputs!$B$13,(C39*Inputs!$B$7)+(Inputs!$B$6*Inputs!$B$8),IF(Inputs!$B$15=Inputs!$B$14,(Inputs!$B$6*Inputs!$B$7)+(Inputs!$B$6*Inputs!$B$8),0)))))</f>
        <v>#N/A</v>
      </c>
      <c r="G39" s="29">
        <f>IF(A38&gt;=Inputs!$B$18,"",H38)</f>
      </c>
      <c r="H39" s="25">
        <f>IF(A38&gt;=Inputs!$B$18,"",(H38+12*F39)*(1+Inputs!$B$10))</f>
      </c>
      <c r="I39" s="25">
        <f>IF(A38&gt;=Inputs!$B$18,"",J38)</f>
      </c>
      <c r="J39" s="36" t="e">
        <f>IF(A38&gt;=Inputs!$B$18,NA(),(J38+12*E39)*(1+Inputs!$B$10))</f>
        <v>#N/A</v>
      </c>
      <c r="K39" s="25" t="e">
        <f>IF(A38&gt;=Inputs!$B$18,NA(),IF(B39&lt;57,H39-J39,IF(B39&lt;58,90%*H39,H39)))</f>
        <v>#N/A</v>
      </c>
      <c r="L39" s="34">
        <f>IF(C39&lt;Inputs!$B$6,Inputs!$B$9*(Inputs!$B$7-Inputs!$B$8),Inputs!$B$6*(Inputs!$B$7-Inputs!$B$8))</f>
        <v>1249.4999999999998</v>
      </c>
      <c r="M39" s="38" t="e">
        <f>IF(A38&gt;=Inputs!$B$18,NA(),K39/H39)</f>
        <v>#N/A</v>
      </c>
      <c r="N39" s="19">
        <f>IF(A38&gt;=Inputs!$B$18,"",O38)</f>
      </c>
      <c r="O39" s="19">
        <f>IF(A38&gt;=Inputs!$B$18,"",O38+12*L39)</f>
      </c>
      <c r="P39" s="19">
        <f>IF(A38&gt;=Inputs!$B$18,"",12*IF(C39&lt;Inputs!$B$6,1.61%*C39,1.61%*Inputs!$B$6))</f>
      </c>
    </row>
    <row r="40" spans="1:16" ht="14.25">
      <c r="A40" s="29">
        <f>IF(A39&gt;=Inputs!$B$18,"",A39+1)</f>
      </c>
      <c r="B40" s="11" t="e">
        <f>IF(A39&gt;=Inputs!$B$18,NA(),B39+1)</f>
        <v>#N/A</v>
      </c>
      <c r="C40" s="21">
        <f>IF(A39&gt;=Inputs!$B$18,"",C39*(1+Inputs!$B$17))</f>
      </c>
      <c r="D40" s="26" t="e">
        <f>IF(B40&gt;Inputs!$B$19,0,IF(C40&lt;Inputs!$B$6,(C40*Inputs!$B$7),IF(Inputs!$B$15=Inputs!$B$12,(C40*Inputs!$B$7),IF(Inputs!$B$15=Inputs!$B$13,(C40*Inputs!$B$7),IF(Inputs!$B$15=Inputs!$B$14,(Inputs!$B$6*Inputs!$B$7),0)))))</f>
        <v>#N/A</v>
      </c>
      <c r="E40" s="26" t="e">
        <f>IF(B40&gt;Inputs!$B$19,0,IF(C40&lt;Inputs!$B$6,(C40*Inputs!$B$8),IF(Inputs!$B$15=Inputs!$B$12,(C40*Inputs!$B$7)-(Inputs!$B$6*(Inputs!$B$7-Inputs!$B$8)),IF(Inputs!$B$15=Inputs!$B$13,(Inputs!$B$6*Inputs!$B$8),IF(Inputs!$B$15=Inputs!$B$14,(Inputs!$B$6*Inputs!$B$8),0)))))</f>
        <v>#N/A</v>
      </c>
      <c r="F40" s="25" t="e">
        <f>IF(B40&gt;Inputs!$B$19,0,IF(C40&lt;Inputs!$B$6,(C40*Inputs!$B$7)+(C40*Inputs!$B$8),IF(Inputs!$B$15=Inputs!$B$12,(C40*Inputs!$B$7)+(C40*Inputs!$B$7)-(Inputs!$B$6*(Inputs!$B$7-Inputs!$B$8)),IF(Inputs!$B$15=Inputs!$B$13,(C40*Inputs!$B$7)+(Inputs!$B$6*Inputs!$B$8),IF(Inputs!$B$15=Inputs!$B$14,(Inputs!$B$6*Inputs!$B$7)+(Inputs!$B$6*Inputs!$B$8),0)))))</f>
        <v>#N/A</v>
      </c>
      <c r="G40" s="29">
        <f>IF(A39&gt;=Inputs!$B$18,"",H39)</f>
      </c>
      <c r="H40" s="25">
        <f>IF(A39&gt;=Inputs!$B$18,"",(H39+12*F40)*(1+Inputs!$B$10))</f>
      </c>
      <c r="I40" s="25">
        <f>IF(A39&gt;=Inputs!$B$18,"",J39)</f>
      </c>
      <c r="J40" s="36" t="e">
        <f>IF(A39&gt;=Inputs!$B$18,NA(),(J39+12*E40)*(1+Inputs!$B$10))</f>
        <v>#N/A</v>
      </c>
      <c r="K40" s="25" t="e">
        <f>IF(A39&gt;=Inputs!$B$18,NA(),IF(B40&lt;57,H40-J40,IF(B40&lt;58,90%*H40,H40)))</f>
        <v>#N/A</v>
      </c>
      <c r="L40" s="34">
        <f>IF(C40&lt;Inputs!$B$6,Inputs!$B$9*(Inputs!$B$7-Inputs!$B$8),Inputs!$B$6*(Inputs!$B$7-Inputs!$B$8))</f>
        <v>1249.4999999999998</v>
      </c>
      <c r="M40" s="38" t="e">
        <f>IF(A39&gt;=Inputs!$B$18,NA(),K40/H40)</f>
        <v>#N/A</v>
      </c>
      <c r="N40" s="19">
        <f>IF(A39&gt;=Inputs!$B$18,"",O39)</f>
      </c>
      <c r="O40" s="19">
        <f>IF(A39&gt;=Inputs!$B$18,"",O39+12*L40)</f>
      </c>
      <c r="P40" s="19">
        <f>IF(A39&gt;=Inputs!$B$18,"",12*IF(C40&lt;Inputs!$B$6,1.61%*C40,1.61%*Inputs!$B$6))</f>
      </c>
    </row>
    <row r="41" spans="1:16" ht="14.25">
      <c r="A41" s="29">
        <f>IF(A40&gt;=Inputs!$B$18,"",A40+1)</f>
      </c>
      <c r="B41" s="11" t="e">
        <f>IF(A40&gt;=Inputs!$B$18,NA(),B40+1)</f>
        <v>#N/A</v>
      </c>
      <c r="C41" s="21">
        <f>IF(A40&gt;=Inputs!$B$18,"",C40*(1+Inputs!$B$17))</f>
      </c>
      <c r="D41" s="26" t="e">
        <f>IF(B41&gt;Inputs!$B$19,0,IF(C41&lt;Inputs!$B$6,(C41*Inputs!$B$7),IF(Inputs!$B$15=Inputs!$B$12,(C41*Inputs!$B$7),IF(Inputs!$B$15=Inputs!$B$13,(C41*Inputs!$B$7),IF(Inputs!$B$15=Inputs!$B$14,(Inputs!$B$6*Inputs!$B$7),0)))))</f>
        <v>#N/A</v>
      </c>
      <c r="E41" s="26" t="e">
        <f>IF(B41&gt;Inputs!$B$19,0,IF(C41&lt;Inputs!$B$6,(C41*Inputs!$B$8),IF(Inputs!$B$15=Inputs!$B$12,(C41*Inputs!$B$7)-(Inputs!$B$6*(Inputs!$B$7-Inputs!$B$8)),IF(Inputs!$B$15=Inputs!$B$13,(Inputs!$B$6*Inputs!$B$8),IF(Inputs!$B$15=Inputs!$B$14,(Inputs!$B$6*Inputs!$B$8),0)))))</f>
        <v>#N/A</v>
      </c>
      <c r="F41" s="25" t="e">
        <f>IF(B41&gt;Inputs!$B$19,0,IF(C41&lt;Inputs!$B$6,(C41*Inputs!$B$7)+(C41*Inputs!$B$8),IF(Inputs!$B$15=Inputs!$B$12,(C41*Inputs!$B$7)+(C41*Inputs!$B$7)-(Inputs!$B$6*(Inputs!$B$7-Inputs!$B$8)),IF(Inputs!$B$15=Inputs!$B$13,(C41*Inputs!$B$7)+(Inputs!$B$6*Inputs!$B$8),IF(Inputs!$B$15=Inputs!$B$14,(Inputs!$B$6*Inputs!$B$7)+(Inputs!$B$6*Inputs!$B$8),0)))))</f>
        <v>#N/A</v>
      </c>
      <c r="G41" s="29">
        <f>IF(A40&gt;=Inputs!$B$18,"",H40)</f>
      </c>
      <c r="H41" s="25">
        <f>IF(A40&gt;=Inputs!$B$18,"",(H40+12*F41)*(1+Inputs!$B$10))</f>
      </c>
      <c r="I41" s="25">
        <f>IF(A40&gt;=Inputs!$B$18,"",J40)</f>
      </c>
      <c r="J41" s="36" t="e">
        <f>IF(A40&gt;=Inputs!$B$18,NA(),(J40+12*E41)*(1+Inputs!$B$10))</f>
        <v>#N/A</v>
      </c>
      <c r="K41" s="25" t="e">
        <f>IF(A40&gt;=Inputs!$B$18,NA(),IF(B41&lt;57,H41-J41,IF(B41&lt;58,90%*H41,H41)))</f>
        <v>#N/A</v>
      </c>
      <c r="L41" s="34">
        <f>IF(C41&lt;Inputs!$B$6,Inputs!$B$9*(Inputs!$B$7-Inputs!$B$8),Inputs!$B$6*(Inputs!$B$7-Inputs!$B$8))</f>
        <v>1249.4999999999998</v>
      </c>
      <c r="M41" s="38" t="e">
        <f>IF(A40&gt;=Inputs!$B$18,NA(),K41/H41)</f>
        <v>#N/A</v>
      </c>
      <c r="N41" s="19">
        <f>IF(A40&gt;=Inputs!$B$18,"",O40)</f>
      </c>
      <c r="O41" s="19">
        <f>IF(A40&gt;=Inputs!$B$18,"",O40+12*L41)</f>
      </c>
      <c r="P41" s="19">
        <f>IF(A40&gt;=Inputs!$B$18,"",12*IF(C41&lt;Inputs!$B$6,1.61%*C41,1.61%*Inputs!$B$6))</f>
      </c>
    </row>
    <row r="42" spans="1:16" ht="14.25">
      <c r="A42" s="29">
        <f>IF(A41&gt;=Inputs!$B$18,"",A41+1)</f>
      </c>
      <c r="B42" s="11" t="e">
        <f>IF(A41&gt;=Inputs!$B$18,NA(),B41+1)</f>
        <v>#N/A</v>
      </c>
      <c r="C42" s="21">
        <f>IF(A41&gt;=Inputs!$B$18,"",C41*(1+Inputs!$B$17))</f>
      </c>
      <c r="D42" s="26" t="e">
        <f>IF(B42&gt;Inputs!$B$19,0,IF(C42&lt;Inputs!$B$6,(C42*Inputs!$B$7),IF(Inputs!$B$15=Inputs!$B$12,(C42*Inputs!$B$7),IF(Inputs!$B$15=Inputs!$B$13,(C42*Inputs!$B$7),IF(Inputs!$B$15=Inputs!$B$14,(Inputs!$B$6*Inputs!$B$7),0)))))</f>
        <v>#N/A</v>
      </c>
      <c r="E42" s="26" t="e">
        <f>IF(B42&gt;Inputs!$B$19,0,IF(C42&lt;Inputs!$B$6,(C42*Inputs!$B$8),IF(Inputs!$B$15=Inputs!$B$12,(C42*Inputs!$B$7)-(Inputs!$B$6*(Inputs!$B$7-Inputs!$B$8)),IF(Inputs!$B$15=Inputs!$B$13,(Inputs!$B$6*Inputs!$B$8),IF(Inputs!$B$15=Inputs!$B$14,(Inputs!$B$6*Inputs!$B$8),0)))))</f>
        <v>#N/A</v>
      </c>
      <c r="F42" s="25" t="e">
        <f>IF(B42&gt;Inputs!$B$19,0,IF(C42&lt;Inputs!$B$6,(C42*Inputs!$B$7)+(C42*Inputs!$B$8),IF(Inputs!$B$15=Inputs!$B$12,(C42*Inputs!$B$7)+(C42*Inputs!$B$7)-(Inputs!$B$6*(Inputs!$B$7-Inputs!$B$8)),IF(Inputs!$B$15=Inputs!$B$13,(C42*Inputs!$B$7)+(Inputs!$B$6*Inputs!$B$8),IF(Inputs!$B$15=Inputs!$B$14,(Inputs!$B$6*Inputs!$B$7)+(Inputs!$B$6*Inputs!$B$8),0)))))</f>
        <v>#N/A</v>
      </c>
      <c r="G42" s="29">
        <f>IF(A41&gt;=Inputs!$B$18,"",H41)</f>
      </c>
      <c r="H42" s="25">
        <f>IF(A41&gt;=Inputs!$B$18,"",(H41+12*F42)*(1+Inputs!$B$10))</f>
      </c>
      <c r="I42" s="25">
        <f>IF(A41&gt;=Inputs!$B$18,"",J41)</f>
      </c>
      <c r="J42" s="36" t="e">
        <f>IF(A41&gt;=Inputs!$B$18,NA(),(J41+12*E42)*(1+Inputs!$B$10))</f>
        <v>#N/A</v>
      </c>
      <c r="K42" s="25" t="e">
        <f>IF(A41&gt;=Inputs!$B$18,NA(),IF(B42&lt;57,H42-J42,IF(B42&lt;58,90%*H42,H42)))</f>
        <v>#N/A</v>
      </c>
      <c r="L42" s="34">
        <f>IF(C42&lt;Inputs!$B$6,Inputs!$B$9*(Inputs!$B$7-Inputs!$B$8),Inputs!$B$6*(Inputs!$B$7-Inputs!$B$8))</f>
        <v>1249.4999999999998</v>
      </c>
      <c r="M42" s="38" t="e">
        <f>IF(A41&gt;=Inputs!$B$18,NA(),K42/H42)</f>
        <v>#N/A</v>
      </c>
      <c r="N42" s="19">
        <f>IF(A41&gt;=Inputs!$B$18,"",O41)</f>
      </c>
      <c r="O42" s="19">
        <f>IF(A41&gt;=Inputs!$B$18,"",O41+12*L42)</f>
      </c>
      <c r="P42" s="19">
        <f>IF(A41&gt;=Inputs!$B$18,"",12*IF(C42&lt;Inputs!$B$6,1.61%*C42,1.61%*Inputs!$B$6))</f>
      </c>
    </row>
    <row r="43" spans="1:16" ht="14.25">
      <c r="A43" s="29">
        <f>IF(A42&gt;=Inputs!$B$18,"",A42+1)</f>
      </c>
      <c r="B43" s="11" t="e">
        <f>IF(A42&gt;=Inputs!$B$18,NA(),B42+1)</f>
        <v>#N/A</v>
      </c>
      <c r="C43" s="21">
        <f>IF(A42&gt;=Inputs!$B$18,"",C42*(1+Inputs!$B$17))</f>
      </c>
      <c r="D43" s="26" t="e">
        <f>IF(B43&gt;Inputs!$B$19,0,IF(C43&lt;Inputs!$B$6,(C43*Inputs!$B$7),IF(Inputs!$B$15=Inputs!$B$12,(C43*Inputs!$B$7),IF(Inputs!$B$15=Inputs!$B$13,(C43*Inputs!$B$7),IF(Inputs!$B$15=Inputs!$B$14,(Inputs!$B$6*Inputs!$B$7),0)))))</f>
        <v>#N/A</v>
      </c>
      <c r="E43" s="26" t="e">
        <f>IF(B43&gt;Inputs!$B$19,0,IF(C43&lt;Inputs!$B$6,(C43*Inputs!$B$8),IF(Inputs!$B$15=Inputs!$B$12,(C43*Inputs!$B$7)-(Inputs!$B$6*(Inputs!$B$7-Inputs!$B$8)),IF(Inputs!$B$15=Inputs!$B$13,(Inputs!$B$6*Inputs!$B$8),IF(Inputs!$B$15=Inputs!$B$14,(Inputs!$B$6*Inputs!$B$8),0)))))</f>
        <v>#N/A</v>
      </c>
      <c r="F43" s="25" t="e">
        <f>IF(B43&gt;Inputs!$B$19,0,IF(C43&lt;Inputs!$B$6,(C43*Inputs!$B$7)+(C43*Inputs!$B$8),IF(Inputs!$B$15=Inputs!$B$12,(C43*Inputs!$B$7)+(C43*Inputs!$B$7)-(Inputs!$B$6*(Inputs!$B$7-Inputs!$B$8)),IF(Inputs!$B$15=Inputs!$B$13,(C43*Inputs!$B$7)+(Inputs!$B$6*Inputs!$B$8),IF(Inputs!$B$15=Inputs!$B$14,(Inputs!$B$6*Inputs!$B$7)+(Inputs!$B$6*Inputs!$B$8),0)))))</f>
        <v>#N/A</v>
      </c>
      <c r="G43" s="29">
        <f>IF(A42&gt;=Inputs!$B$18,"",H42)</f>
      </c>
      <c r="H43" s="25">
        <f>IF(A42&gt;=Inputs!$B$18,"",(H42+12*F43)*(1+Inputs!$B$10))</f>
      </c>
      <c r="I43" s="25">
        <f>IF(A42&gt;=Inputs!$B$18,"",J42)</f>
      </c>
      <c r="J43" s="36" t="e">
        <f>IF(A42&gt;=Inputs!$B$18,NA(),(J42+12*E43)*(1+Inputs!$B$10))</f>
        <v>#N/A</v>
      </c>
      <c r="K43" s="25" t="e">
        <f>IF(A42&gt;=Inputs!$B$18,NA(),IF(B43&lt;57,H43-J43,IF(B43&lt;58,90%*H43,H43)))</f>
        <v>#N/A</v>
      </c>
      <c r="L43" s="34">
        <f>IF(C43&lt;Inputs!$B$6,Inputs!$B$9*(Inputs!$B$7-Inputs!$B$8),Inputs!$B$6*(Inputs!$B$7-Inputs!$B$8))</f>
        <v>1249.4999999999998</v>
      </c>
      <c r="M43" s="38" t="e">
        <f>IF(A42&gt;=Inputs!$B$18,NA(),K43/H43)</f>
        <v>#N/A</v>
      </c>
      <c r="N43" s="19">
        <f>IF(A42&gt;=Inputs!$B$18,"",O42)</f>
      </c>
      <c r="O43" s="19">
        <f>IF(A42&gt;=Inputs!$B$18,"",O42+12*L43)</f>
      </c>
      <c r="P43" s="19">
        <f>IF(A42&gt;=Inputs!$B$18,"",12*IF(C43&lt;Inputs!$B$6,1.61%*C43,1.61%*Inputs!$B$6))</f>
      </c>
    </row>
    <row r="44" spans="1:16" ht="14.25">
      <c r="A44" s="29">
        <f>IF(A43&gt;=Inputs!$B$18,"",A43+1)</f>
      </c>
      <c r="B44" s="11" t="e">
        <f>IF(A43&gt;=Inputs!$B$18,NA(),B43+1)</f>
        <v>#N/A</v>
      </c>
      <c r="C44" s="21">
        <f>IF(A43&gt;=Inputs!$B$18,"",C43*(1+Inputs!$B$17))</f>
      </c>
      <c r="D44" s="26" t="e">
        <f>IF(B44&gt;Inputs!$B$19,0,IF(C44&lt;Inputs!$B$6,(C44*Inputs!$B$7),IF(Inputs!$B$15=Inputs!$B$12,(C44*Inputs!$B$7),IF(Inputs!$B$15=Inputs!$B$13,(C44*Inputs!$B$7),IF(Inputs!$B$15=Inputs!$B$14,(Inputs!$B$6*Inputs!$B$7),0)))))</f>
        <v>#N/A</v>
      </c>
      <c r="E44" s="26" t="e">
        <f>IF(B44&gt;Inputs!$B$19,0,IF(C44&lt;Inputs!$B$6,(C44*Inputs!$B$8),IF(Inputs!$B$15=Inputs!$B$12,(C44*Inputs!$B$7)-(Inputs!$B$6*(Inputs!$B$7-Inputs!$B$8)),IF(Inputs!$B$15=Inputs!$B$13,(Inputs!$B$6*Inputs!$B$8),IF(Inputs!$B$15=Inputs!$B$14,(Inputs!$B$6*Inputs!$B$8),0)))))</f>
        <v>#N/A</v>
      </c>
      <c r="F44" s="25" t="e">
        <f>IF(B44&gt;Inputs!$B$19,0,IF(C44&lt;Inputs!$B$6,(C44*Inputs!$B$7)+(C44*Inputs!$B$8),IF(Inputs!$B$15=Inputs!$B$12,(C44*Inputs!$B$7)+(C44*Inputs!$B$7)-(Inputs!$B$6*(Inputs!$B$7-Inputs!$B$8)),IF(Inputs!$B$15=Inputs!$B$13,(C44*Inputs!$B$7)+(Inputs!$B$6*Inputs!$B$8),IF(Inputs!$B$15=Inputs!$B$14,(Inputs!$B$6*Inputs!$B$7)+(Inputs!$B$6*Inputs!$B$8),0)))))</f>
        <v>#N/A</v>
      </c>
      <c r="G44" s="29">
        <f>IF(A43&gt;=Inputs!$B$18,"",H43)</f>
      </c>
      <c r="H44" s="25">
        <f>IF(A43&gt;=Inputs!$B$18,"",(H43+12*F44)*(1+Inputs!$B$10))</f>
      </c>
      <c r="I44" s="25">
        <f>IF(A43&gt;=Inputs!$B$18,"",J43)</f>
      </c>
      <c r="J44" s="36" t="e">
        <f>IF(A43&gt;=Inputs!$B$18,NA(),(J43+12*E44)*(1+Inputs!$B$10))</f>
        <v>#N/A</v>
      </c>
      <c r="K44" s="25" t="e">
        <f>IF(A43&gt;=Inputs!$B$18,NA(),IF(B44&lt;57,H44-J44,IF(B44&lt;58,90%*H44,H44)))</f>
        <v>#N/A</v>
      </c>
      <c r="L44" s="34">
        <f>IF(C44&lt;Inputs!$B$6,Inputs!$B$9*(Inputs!$B$7-Inputs!$B$8),Inputs!$B$6*(Inputs!$B$7-Inputs!$B$8))</f>
        <v>1249.4999999999998</v>
      </c>
      <c r="M44" s="38" t="e">
        <f>IF(A43&gt;=Inputs!$B$18,NA(),K44/H44)</f>
        <v>#N/A</v>
      </c>
      <c r="N44" s="19">
        <f>IF(A43&gt;=Inputs!$B$18,"",O43)</f>
      </c>
      <c r="O44" s="19">
        <f>IF(A43&gt;=Inputs!$B$18,"",O43+12*L44)</f>
      </c>
      <c r="P44" s="19">
        <f>IF(A43&gt;=Inputs!$B$18,"",12*IF(C44&lt;Inputs!$B$6,1.61%*C44,1.61%*Inputs!$B$6))</f>
      </c>
    </row>
    <row r="45" spans="1:16" ht="14.25">
      <c r="A45" s="29">
        <f>IF(A44&gt;=Inputs!$B$18,"",A44+1)</f>
      </c>
      <c r="B45" s="11" t="e">
        <f>IF(A44&gt;=Inputs!$B$18,NA(),B44+1)</f>
        <v>#N/A</v>
      </c>
      <c r="C45" s="21">
        <f>IF(A44&gt;=Inputs!$B$18,"",C44*(1+Inputs!$B$17))</f>
      </c>
      <c r="D45" s="26" t="e">
        <f>IF(B45&gt;Inputs!$B$19,0,IF(C45&lt;Inputs!$B$6,(C45*Inputs!$B$7),IF(Inputs!$B$15=Inputs!$B$12,(C45*Inputs!$B$7),IF(Inputs!$B$15=Inputs!$B$13,(C45*Inputs!$B$7),IF(Inputs!$B$15=Inputs!$B$14,(Inputs!$B$6*Inputs!$B$7),0)))))</f>
        <v>#N/A</v>
      </c>
      <c r="E45" s="26" t="e">
        <f>IF(B45&gt;Inputs!$B$19,0,IF(C45&lt;Inputs!$B$6,(C45*Inputs!$B$8),IF(Inputs!$B$15=Inputs!$B$12,(C45*Inputs!$B$7)-(Inputs!$B$6*(Inputs!$B$7-Inputs!$B$8)),IF(Inputs!$B$15=Inputs!$B$13,(Inputs!$B$6*Inputs!$B$8),IF(Inputs!$B$15=Inputs!$B$14,(Inputs!$B$6*Inputs!$B$8),0)))))</f>
        <v>#N/A</v>
      </c>
      <c r="F45" s="25" t="e">
        <f>IF(B45&gt;Inputs!$B$19,0,IF(C45&lt;Inputs!$B$6,(C45*Inputs!$B$7)+(C45*Inputs!$B$8),IF(Inputs!$B$15=Inputs!$B$12,(C45*Inputs!$B$7)+(C45*Inputs!$B$7)-(Inputs!$B$6*(Inputs!$B$7-Inputs!$B$8)),IF(Inputs!$B$15=Inputs!$B$13,(C45*Inputs!$B$7)+(Inputs!$B$6*Inputs!$B$8),IF(Inputs!$B$15=Inputs!$B$14,(Inputs!$B$6*Inputs!$B$7)+(Inputs!$B$6*Inputs!$B$8),0)))))</f>
        <v>#N/A</v>
      </c>
      <c r="G45" s="29">
        <f>IF(A44&gt;=Inputs!$B$18,"",H44)</f>
      </c>
      <c r="H45" s="25">
        <f>IF(A44&gt;=Inputs!$B$18,"",(H44+12*F45)*(1+Inputs!$B$10))</f>
      </c>
      <c r="I45" s="25">
        <f>IF(A44&gt;=Inputs!$B$18,"",J44)</f>
      </c>
      <c r="J45" s="36" t="e">
        <f>IF(A44&gt;=Inputs!$B$18,NA(),(J44+12*E45)*(1+Inputs!$B$10))</f>
        <v>#N/A</v>
      </c>
      <c r="K45" s="25" t="e">
        <f>IF(A44&gt;=Inputs!$B$18,NA(),IF(B45&lt;57,H45-J45,IF(B45&lt;58,90%*H45,H45)))</f>
        <v>#N/A</v>
      </c>
      <c r="L45" s="34">
        <f>IF(C45&lt;Inputs!$B$6,Inputs!$B$9*(Inputs!$B$7-Inputs!$B$8),Inputs!$B$6*(Inputs!$B$7-Inputs!$B$8))</f>
        <v>1249.4999999999998</v>
      </c>
      <c r="M45" s="38" t="e">
        <f>IF(A44&gt;=Inputs!$B$18,NA(),K45/H45)</f>
        <v>#N/A</v>
      </c>
      <c r="N45" s="19">
        <f>IF(A44&gt;=Inputs!$B$18,"",O44)</f>
      </c>
      <c r="O45" s="19">
        <f>IF(A44&gt;=Inputs!$B$18,"",O44+12*L45)</f>
      </c>
      <c r="P45" s="19">
        <f>IF(A44&gt;=Inputs!$B$18,"",12*IF(C45&lt;Inputs!$B$6,1.61%*C45,1.61%*Inputs!$B$6))</f>
      </c>
    </row>
    <row r="46" spans="1:16" ht="14.25">
      <c r="A46" s="29">
        <f>IF(A45&gt;=Inputs!$B$18,"",A45+1)</f>
      </c>
      <c r="B46" s="11" t="e">
        <f>IF(A45&gt;=Inputs!$B$18,NA(),B45+1)</f>
        <v>#N/A</v>
      </c>
      <c r="C46" s="21">
        <f>IF(A45&gt;=Inputs!$B$18,"",C45*(1+Inputs!$B$17))</f>
      </c>
      <c r="D46" s="26" t="e">
        <f>IF(B46&gt;Inputs!$B$19,0,IF(C46&lt;Inputs!$B$6,(C46*Inputs!$B$7),IF(Inputs!$B$15=Inputs!$B$12,(C46*Inputs!$B$7),IF(Inputs!$B$15=Inputs!$B$13,(C46*Inputs!$B$7),IF(Inputs!$B$15=Inputs!$B$14,(Inputs!$B$6*Inputs!$B$7),0)))))</f>
        <v>#N/A</v>
      </c>
      <c r="E46" s="26" t="e">
        <f>IF(B46&gt;Inputs!$B$19,0,IF(C46&lt;Inputs!$B$6,(C46*Inputs!$B$8),IF(Inputs!$B$15=Inputs!$B$12,(C46*Inputs!$B$7)-(Inputs!$B$6*(Inputs!$B$7-Inputs!$B$8)),IF(Inputs!$B$15=Inputs!$B$13,(Inputs!$B$6*Inputs!$B$8),IF(Inputs!$B$15=Inputs!$B$14,(Inputs!$B$6*Inputs!$B$8),0)))))</f>
        <v>#N/A</v>
      </c>
      <c r="F46" s="25" t="e">
        <f>IF(B46&gt;Inputs!$B$19,0,IF(C46&lt;Inputs!$B$6,(C46*Inputs!$B$7)+(C46*Inputs!$B$8),IF(Inputs!$B$15=Inputs!$B$12,(C46*Inputs!$B$7)+(C46*Inputs!$B$7)-(Inputs!$B$6*(Inputs!$B$7-Inputs!$B$8)),IF(Inputs!$B$15=Inputs!$B$13,(C46*Inputs!$B$7)+(Inputs!$B$6*Inputs!$B$8),IF(Inputs!$B$15=Inputs!$B$14,(Inputs!$B$6*Inputs!$B$7)+(Inputs!$B$6*Inputs!$B$8),0)))))</f>
        <v>#N/A</v>
      </c>
      <c r="G46" s="29">
        <f>IF(A45&gt;=Inputs!$B$18,"",H45)</f>
      </c>
      <c r="H46" s="25">
        <f>IF(A45&gt;=Inputs!$B$18,"",(H45+12*F46)*(1+Inputs!$B$10))</f>
      </c>
      <c r="I46" s="25">
        <f>IF(A45&gt;=Inputs!$B$18,"",J45)</f>
      </c>
      <c r="J46" s="36" t="e">
        <f>IF(A45&gt;=Inputs!$B$18,NA(),(J45+12*E46)*(1+Inputs!$B$10))</f>
        <v>#N/A</v>
      </c>
      <c r="K46" s="25" t="e">
        <f>IF(A45&gt;=Inputs!$B$18,NA(),IF(B46&lt;57,H46-J46,IF(B46&lt;58,90%*H46,H46)))</f>
        <v>#N/A</v>
      </c>
      <c r="L46" s="34">
        <f>IF(C46&lt;Inputs!$B$6,Inputs!$B$9*(Inputs!$B$7-Inputs!$B$8),Inputs!$B$6*(Inputs!$B$7-Inputs!$B$8))</f>
        <v>1249.4999999999998</v>
      </c>
      <c r="M46" s="38" t="e">
        <f>IF(A45&gt;=Inputs!$B$18,NA(),K46/H46)</f>
        <v>#N/A</v>
      </c>
      <c r="N46" s="19">
        <f>IF(A45&gt;=Inputs!$B$18,"",O45)</f>
      </c>
      <c r="O46" s="19">
        <f>IF(A45&gt;=Inputs!$B$18,"",O45+12*L46)</f>
      </c>
      <c r="P46" s="19">
        <f>IF(A45&gt;=Inputs!$B$18,"",12*IF(C46&lt;Inputs!$B$6,1.61%*C46,1.61%*Inputs!$B$6))</f>
      </c>
    </row>
    <row r="47" spans="1:16" ht="14.25">
      <c r="A47" s="29">
        <f>IF(A46&gt;=Inputs!$B$18,"",A46+1)</f>
      </c>
      <c r="B47" s="11" t="e">
        <f>IF(A46&gt;=Inputs!$B$18,NA(),B46+1)</f>
        <v>#N/A</v>
      </c>
      <c r="C47" s="21">
        <f>IF(A46&gt;=Inputs!$B$18,"",C46*(1+Inputs!$B$17))</f>
      </c>
      <c r="D47" s="26" t="e">
        <f>IF(B47&gt;Inputs!$B$19,0,IF(C47&lt;Inputs!$B$6,(C47*Inputs!$B$7),IF(Inputs!$B$15=Inputs!$B$12,(C47*Inputs!$B$7),IF(Inputs!$B$15=Inputs!$B$13,(C47*Inputs!$B$7),IF(Inputs!$B$15=Inputs!$B$14,(Inputs!$B$6*Inputs!$B$7),0)))))</f>
        <v>#N/A</v>
      </c>
      <c r="E47" s="26" t="e">
        <f>IF(B47&gt;Inputs!$B$19,0,IF(C47&lt;Inputs!$B$6,(C47*Inputs!$B$8),IF(Inputs!$B$15=Inputs!$B$12,(C47*Inputs!$B$7)-(Inputs!$B$6*(Inputs!$B$7-Inputs!$B$8)),IF(Inputs!$B$15=Inputs!$B$13,(Inputs!$B$6*Inputs!$B$8),IF(Inputs!$B$15=Inputs!$B$14,(Inputs!$B$6*Inputs!$B$8),0)))))</f>
        <v>#N/A</v>
      </c>
      <c r="F47" s="25" t="e">
        <f>IF(B47&gt;Inputs!$B$19,0,IF(C47&lt;Inputs!$B$6,(C47*Inputs!$B$7)+(C47*Inputs!$B$8),IF(Inputs!$B$15=Inputs!$B$12,(C47*Inputs!$B$7)+(C47*Inputs!$B$7)-(Inputs!$B$6*(Inputs!$B$7-Inputs!$B$8)),IF(Inputs!$B$15=Inputs!$B$13,(C47*Inputs!$B$7)+(Inputs!$B$6*Inputs!$B$8),IF(Inputs!$B$15=Inputs!$B$14,(Inputs!$B$6*Inputs!$B$7)+(Inputs!$B$6*Inputs!$B$8),0)))))</f>
        <v>#N/A</v>
      </c>
      <c r="G47" s="29">
        <f>IF(A46&gt;=Inputs!$B$18,"",H46)</f>
      </c>
      <c r="H47" s="25">
        <f>IF(A46&gt;=Inputs!$B$18,"",(H46+12*F47)*(1+Inputs!$B$10))</f>
      </c>
      <c r="I47" s="25">
        <f>IF(A46&gt;=Inputs!$B$18,"",J46)</f>
      </c>
      <c r="J47" s="36" t="e">
        <f>IF(A46&gt;=Inputs!$B$18,NA(),(J46+12*E47)*(1+Inputs!$B$10))</f>
        <v>#N/A</v>
      </c>
      <c r="K47" s="25" t="e">
        <f>IF(A46&gt;=Inputs!$B$18,NA(),IF(B47&lt;57,H47-J47,IF(B47&lt;58,90%*H47,H47)))</f>
        <v>#N/A</v>
      </c>
      <c r="L47" s="34">
        <f>IF(C47&lt;Inputs!$B$6,Inputs!$B$9*(Inputs!$B$7-Inputs!$B$8),Inputs!$B$6*(Inputs!$B$7-Inputs!$B$8))</f>
        <v>1249.4999999999998</v>
      </c>
      <c r="M47" s="38" t="e">
        <f>IF(A46&gt;=Inputs!$B$18,NA(),K47/H47)</f>
        <v>#N/A</v>
      </c>
      <c r="N47" s="19">
        <f>IF(A46&gt;=Inputs!$B$18,"",O46)</f>
      </c>
      <c r="O47" s="19">
        <f>IF(A46&gt;=Inputs!$B$18,"",O46+12*L47)</f>
      </c>
      <c r="P47" s="19">
        <f>IF(A46&gt;=Inputs!$B$18,"",12*IF(C47&lt;Inputs!$B$6,1.61%*C47,1.61%*Inputs!$B$6))</f>
      </c>
    </row>
    <row r="48" spans="1:16" ht="14.25">
      <c r="A48" s="29">
        <f>IF(A47&gt;=Inputs!$B$18,"",A47+1)</f>
      </c>
      <c r="B48" s="11" t="e">
        <f>IF(A47&gt;=Inputs!$B$18,NA(),B47+1)</f>
        <v>#N/A</v>
      </c>
      <c r="C48" s="21">
        <f>IF(A47&gt;=Inputs!$B$18,"",C47*(1+Inputs!$B$17))</f>
      </c>
      <c r="D48" s="26" t="e">
        <f>IF(B48&gt;Inputs!$B$19,0,IF(C48&lt;Inputs!$B$6,(C48*Inputs!$B$7),IF(Inputs!$B$15=Inputs!$B$12,(C48*Inputs!$B$7),IF(Inputs!$B$15=Inputs!$B$13,(C48*Inputs!$B$7),IF(Inputs!$B$15=Inputs!$B$14,(Inputs!$B$6*Inputs!$B$7),0)))))</f>
        <v>#N/A</v>
      </c>
      <c r="E48" s="26" t="e">
        <f>IF(B48&gt;Inputs!$B$19,0,IF(C48&lt;Inputs!$B$6,(C48*Inputs!$B$8),IF(Inputs!$B$15=Inputs!$B$12,(C48*Inputs!$B$7)-(Inputs!$B$6*(Inputs!$B$7-Inputs!$B$8)),IF(Inputs!$B$15=Inputs!$B$13,(Inputs!$B$6*Inputs!$B$8),IF(Inputs!$B$15=Inputs!$B$14,(Inputs!$B$6*Inputs!$B$8),0)))))</f>
        <v>#N/A</v>
      </c>
      <c r="F48" s="25" t="e">
        <f>IF(B48&gt;Inputs!$B$19,0,IF(C48&lt;Inputs!$B$6,(C48*Inputs!$B$7)+(C48*Inputs!$B$8),IF(Inputs!$B$15=Inputs!$B$12,(C48*Inputs!$B$7)+(C48*Inputs!$B$7)-(Inputs!$B$6*(Inputs!$B$7-Inputs!$B$8)),IF(Inputs!$B$15=Inputs!$B$13,(C48*Inputs!$B$7)+(Inputs!$B$6*Inputs!$B$8),IF(Inputs!$B$15=Inputs!$B$14,(Inputs!$B$6*Inputs!$B$7)+(Inputs!$B$6*Inputs!$B$8),0)))))</f>
        <v>#N/A</v>
      </c>
      <c r="G48" s="29">
        <f>IF(A47&gt;=Inputs!$B$18,"",H47)</f>
      </c>
      <c r="H48" s="25">
        <f>IF(A47&gt;=Inputs!$B$18,"",(H47+12*F48)*(1+Inputs!$B$10))</f>
      </c>
      <c r="I48" s="25">
        <f>IF(A47&gt;=Inputs!$B$18,"",J47)</f>
      </c>
      <c r="J48" s="36" t="e">
        <f>IF(A47&gt;=Inputs!$B$18,NA(),(J47+12*E48)*(1+Inputs!$B$10))</f>
        <v>#N/A</v>
      </c>
      <c r="K48" s="25" t="e">
        <f>IF(A47&gt;=Inputs!$B$18,NA(),IF(B48&lt;57,H48-J48,IF(B48&lt;58,90%*H48,H48)))</f>
        <v>#N/A</v>
      </c>
      <c r="L48" s="34">
        <f>IF(C48&lt;Inputs!$B$6,Inputs!$B$9*(Inputs!$B$7-Inputs!$B$8),Inputs!$B$6*(Inputs!$B$7-Inputs!$B$8))</f>
        <v>1249.4999999999998</v>
      </c>
      <c r="M48" s="38" t="e">
        <f>IF(A47&gt;=Inputs!$B$18,NA(),K48/H48)</f>
        <v>#N/A</v>
      </c>
      <c r="N48" s="19">
        <f>IF(A47&gt;=Inputs!$B$18,"",O47)</f>
      </c>
      <c r="O48" s="19">
        <f>IF(A47&gt;=Inputs!$B$18,"",O47+12*L48)</f>
      </c>
      <c r="P48" s="19">
        <f>IF(A47&gt;=Inputs!$B$18,"",12*IF(C48&lt;Inputs!$B$6,1.61%*C48,1.61%*Inputs!$B$6))</f>
      </c>
    </row>
    <row r="49" spans="1:16" ht="14.25">
      <c r="A49" s="29">
        <f>IF(A48&gt;=Inputs!$B$18,"",A48+1)</f>
      </c>
      <c r="B49" s="11" t="e">
        <f>IF(A48&gt;=Inputs!$B$18,NA(),B48+1)</f>
        <v>#N/A</v>
      </c>
      <c r="C49" s="21">
        <f>IF(A48&gt;=Inputs!$B$18,"",C48*(1+Inputs!$B$17))</f>
      </c>
      <c r="D49" s="26" t="e">
        <f>IF(B49&gt;Inputs!$B$19,0,IF(C49&lt;Inputs!$B$6,(C49*Inputs!$B$7),IF(Inputs!$B$15=Inputs!$B$12,(C49*Inputs!$B$7),IF(Inputs!$B$15=Inputs!$B$13,(C49*Inputs!$B$7),IF(Inputs!$B$15=Inputs!$B$14,(Inputs!$B$6*Inputs!$B$7),0)))))</f>
        <v>#N/A</v>
      </c>
      <c r="E49" s="26" t="e">
        <f>IF(B49&gt;Inputs!$B$19,0,IF(C49&lt;Inputs!$B$6,(C49*Inputs!$B$8),IF(Inputs!$B$15=Inputs!$B$12,(C49*Inputs!$B$7)-(Inputs!$B$6*(Inputs!$B$7-Inputs!$B$8)),IF(Inputs!$B$15=Inputs!$B$13,(Inputs!$B$6*Inputs!$B$8),IF(Inputs!$B$15=Inputs!$B$14,(Inputs!$B$6*Inputs!$B$8),0)))))</f>
        <v>#N/A</v>
      </c>
      <c r="F49" s="25" t="e">
        <f>IF(B49&gt;Inputs!$B$19,0,IF(C49&lt;Inputs!$B$6,(C49*Inputs!$B$7)+(C49*Inputs!$B$8),IF(Inputs!$B$15=Inputs!$B$12,(C49*Inputs!$B$7)+(C49*Inputs!$B$7)-(Inputs!$B$6*(Inputs!$B$7-Inputs!$B$8)),IF(Inputs!$B$15=Inputs!$B$13,(C49*Inputs!$B$7)+(Inputs!$B$6*Inputs!$B$8),IF(Inputs!$B$15=Inputs!$B$14,(Inputs!$B$6*Inputs!$B$7)+(Inputs!$B$6*Inputs!$B$8),0)))))</f>
        <v>#N/A</v>
      </c>
      <c r="G49" s="29">
        <f>IF(A48&gt;=Inputs!$B$18,"",H48)</f>
      </c>
      <c r="H49" s="25">
        <f>IF(A48&gt;=Inputs!$B$18,"",(H48+12*F49)*(1+Inputs!$B$10))</f>
      </c>
      <c r="I49" s="25">
        <f>IF(A48&gt;=Inputs!$B$18,"",J48)</f>
      </c>
      <c r="J49" s="36" t="e">
        <f>IF(A48&gt;=Inputs!$B$18,NA(),(J48+12*E49)*(1+Inputs!$B$10))</f>
        <v>#N/A</v>
      </c>
      <c r="K49" s="25" t="e">
        <f>IF(A48&gt;=Inputs!$B$18,NA(),IF(B49&lt;57,H49-J49,IF(B49&lt;58,90%*H49,H49)))</f>
        <v>#N/A</v>
      </c>
      <c r="L49" s="34">
        <f>IF(C49&lt;Inputs!$B$6,Inputs!$B$9*(Inputs!$B$7-Inputs!$B$8),Inputs!$B$6*(Inputs!$B$7-Inputs!$B$8))</f>
        <v>1249.4999999999998</v>
      </c>
      <c r="M49" s="38" t="e">
        <f>IF(A48&gt;=Inputs!$B$18,NA(),K49/H49)</f>
        <v>#N/A</v>
      </c>
      <c r="N49" s="19">
        <f>IF(A48&gt;=Inputs!$B$18,"",O48)</f>
      </c>
      <c r="O49" s="19">
        <f>IF(A48&gt;=Inputs!$B$18,"",O48+12*L49)</f>
      </c>
      <c r="P49" s="19">
        <f>IF(A48&gt;=Inputs!$B$18,"",12*IF(C49&lt;Inputs!$B$6,1.61%*C49,1.61%*Inputs!$B$6))</f>
      </c>
    </row>
    <row r="50" spans="1:16" ht="14.25">
      <c r="A50" s="29">
        <f>IF(A49&gt;=Inputs!$B$18,"",A49+1)</f>
      </c>
      <c r="B50" s="11" t="e">
        <f>IF(A49&gt;=Inputs!$B$18,NA(),B49+1)</f>
        <v>#N/A</v>
      </c>
      <c r="C50" s="21">
        <f>IF(A49&gt;=Inputs!$B$18,"",C49*(1+Inputs!$B$17))</f>
      </c>
      <c r="D50" s="26" t="e">
        <f>IF(B50&gt;Inputs!$B$19,0,IF(C50&lt;Inputs!$B$6,(C50*Inputs!$B$7),IF(Inputs!$B$15=Inputs!$B$12,(C50*Inputs!$B$7),IF(Inputs!$B$15=Inputs!$B$13,(C50*Inputs!$B$7),IF(Inputs!$B$15=Inputs!$B$14,(Inputs!$B$6*Inputs!$B$7),0)))))</f>
        <v>#N/A</v>
      </c>
      <c r="E50" s="26" t="e">
        <f>IF(B50&gt;Inputs!$B$19,0,IF(C50&lt;Inputs!$B$6,(C50*Inputs!$B$8),IF(Inputs!$B$15=Inputs!$B$12,(C50*Inputs!$B$7)-(Inputs!$B$6*(Inputs!$B$7-Inputs!$B$8)),IF(Inputs!$B$15=Inputs!$B$13,(Inputs!$B$6*Inputs!$B$8),IF(Inputs!$B$15=Inputs!$B$14,(Inputs!$B$6*Inputs!$B$8),0)))))</f>
        <v>#N/A</v>
      </c>
      <c r="F50" s="25" t="e">
        <f>IF(B50&gt;Inputs!$B$19,0,IF(C50&lt;Inputs!$B$6,(C50*Inputs!$B$7)+(C50*Inputs!$B$8),IF(Inputs!$B$15=Inputs!$B$12,(C50*Inputs!$B$7)+(C50*Inputs!$B$7)-(Inputs!$B$6*(Inputs!$B$7-Inputs!$B$8)),IF(Inputs!$B$15=Inputs!$B$13,(C50*Inputs!$B$7)+(Inputs!$B$6*Inputs!$B$8),IF(Inputs!$B$15=Inputs!$B$14,(Inputs!$B$6*Inputs!$B$7)+(Inputs!$B$6*Inputs!$B$8),0)))))</f>
        <v>#N/A</v>
      </c>
      <c r="G50" s="29">
        <f>IF(A49&gt;=Inputs!$B$18,"",H49)</f>
      </c>
      <c r="H50" s="25">
        <f>IF(A49&gt;=Inputs!$B$18,"",(H49+12*F50)*(1+Inputs!$B$10))</f>
      </c>
      <c r="I50" s="25">
        <f>IF(A49&gt;=Inputs!$B$18,"",J49)</f>
      </c>
      <c r="J50" s="36" t="e">
        <f>IF(A49&gt;=Inputs!$B$18,NA(),(J49+12*E50)*(1+Inputs!$B$10))</f>
        <v>#N/A</v>
      </c>
      <c r="K50" s="25" t="e">
        <f>IF(A49&gt;=Inputs!$B$18,NA(),IF(B50&lt;57,H50-J50,IF(B50&lt;58,90%*H50,H50)))</f>
        <v>#N/A</v>
      </c>
      <c r="L50" s="34">
        <f>IF(C50&lt;Inputs!$B$6,Inputs!$B$9*(Inputs!$B$7-Inputs!$B$8),Inputs!$B$6*(Inputs!$B$7-Inputs!$B$8))</f>
        <v>1249.4999999999998</v>
      </c>
      <c r="M50" s="38" t="e">
        <f>IF(A49&gt;=Inputs!$B$18,NA(),K50/H50)</f>
        <v>#N/A</v>
      </c>
      <c r="N50" s="19">
        <f>IF(A49&gt;=Inputs!$B$18,"",O49)</f>
      </c>
      <c r="O50" s="19">
        <f>IF(A49&gt;=Inputs!$B$18,"",O49+12*L50)</f>
      </c>
      <c r="P50" s="19">
        <f>IF(A49&gt;=Inputs!$B$18,"",12*IF(C50&lt;Inputs!$B$6,1.61%*C50,1.61%*Inputs!$B$6))</f>
      </c>
    </row>
    <row r="51" spans="1:16" ht="14.25">
      <c r="A51" s="29">
        <f>IF(A50&gt;=Inputs!$B$18,"",A50+1)</f>
      </c>
      <c r="B51" s="11" t="e">
        <f>IF(A50&gt;=Inputs!$B$18,NA(),B50+1)</f>
        <v>#N/A</v>
      </c>
      <c r="C51" s="21">
        <f>IF(A50&gt;=Inputs!$B$18,"",C50*(1+Inputs!$B$17))</f>
      </c>
      <c r="D51" s="26" t="e">
        <f>IF(B51&gt;Inputs!$B$19,0,IF(C51&lt;Inputs!$B$6,(C51*Inputs!$B$7),IF(Inputs!$B$15=Inputs!$B$12,(C51*Inputs!$B$7),IF(Inputs!$B$15=Inputs!$B$13,(C51*Inputs!$B$7),IF(Inputs!$B$15=Inputs!$B$14,(Inputs!$B$6*Inputs!$B$7),0)))))</f>
        <v>#N/A</v>
      </c>
      <c r="E51" s="26" t="e">
        <f>IF(B51&gt;Inputs!$B$19,0,IF(C51&lt;Inputs!$B$6,(C51*Inputs!$B$8),IF(Inputs!$B$15=Inputs!$B$12,(C51*Inputs!$B$7)-(Inputs!$B$6*(Inputs!$B$7-Inputs!$B$8)),IF(Inputs!$B$15=Inputs!$B$13,(Inputs!$B$6*Inputs!$B$8),IF(Inputs!$B$15=Inputs!$B$14,(Inputs!$B$6*Inputs!$B$8),0)))))</f>
        <v>#N/A</v>
      </c>
      <c r="F51" s="25" t="e">
        <f>IF(B51&gt;Inputs!$B$19,0,IF(C51&lt;Inputs!$B$6,(C51*Inputs!$B$7)+(C51*Inputs!$B$8),IF(Inputs!$B$15=Inputs!$B$12,(C51*Inputs!$B$7)+(C51*Inputs!$B$7)-(Inputs!$B$6*(Inputs!$B$7-Inputs!$B$8)),IF(Inputs!$B$15=Inputs!$B$13,(C51*Inputs!$B$7)+(Inputs!$B$6*Inputs!$B$8),IF(Inputs!$B$15=Inputs!$B$14,(Inputs!$B$6*Inputs!$B$7)+(Inputs!$B$6*Inputs!$B$8),0)))))</f>
        <v>#N/A</v>
      </c>
      <c r="G51" s="29">
        <f>IF(A50&gt;=Inputs!$B$18,"",H50)</f>
      </c>
      <c r="H51" s="25">
        <f>IF(A50&gt;=Inputs!$B$18,"",(H50+12*F51)*(1+Inputs!$B$10))</f>
      </c>
      <c r="I51" s="25">
        <f>IF(A50&gt;=Inputs!$B$18,"",J50)</f>
      </c>
      <c r="J51" s="36" t="e">
        <f>IF(A50&gt;=Inputs!$B$18,NA(),(J50+12*E51)*(1+Inputs!$B$10))</f>
        <v>#N/A</v>
      </c>
      <c r="K51" s="25" t="e">
        <f>IF(A50&gt;=Inputs!$B$18,NA(),IF(B51&lt;57,H51-J51,IF(B51&lt;58,90%*H51,H51)))</f>
        <v>#N/A</v>
      </c>
      <c r="L51" s="34">
        <f>IF(C51&lt;Inputs!$B$6,Inputs!$B$9*(Inputs!$B$7-Inputs!$B$8),Inputs!$B$6*(Inputs!$B$7-Inputs!$B$8))</f>
        <v>1249.4999999999998</v>
      </c>
      <c r="M51" s="38" t="e">
        <f>IF(A50&gt;=Inputs!$B$18,NA(),K51/H51)</f>
        <v>#N/A</v>
      </c>
      <c r="N51" s="19">
        <f>IF(A50&gt;=Inputs!$B$18,"",O50)</f>
      </c>
      <c r="O51" s="19">
        <f>IF(A50&gt;=Inputs!$B$18,"",O50+12*L51)</f>
      </c>
      <c r="P51" s="19">
        <f>IF(A50&gt;=Inputs!$B$18,"",12*IF(C51&lt;Inputs!$B$6,1.61%*C51,1.61%*Inputs!$B$6))</f>
      </c>
    </row>
    <row r="52" spans="1:16" ht="14.25">
      <c r="A52" s="29">
        <f>IF(A51&gt;=Inputs!$B$18,"",A51+1)</f>
      </c>
      <c r="B52" s="11" t="e">
        <f>IF(A51&gt;=Inputs!$B$18,NA(),B51+1)</f>
        <v>#N/A</v>
      </c>
      <c r="C52" s="21">
        <f>IF(A51&gt;=Inputs!$B$18,"",C51*(1+Inputs!$B$17))</f>
      </c>
      <c r="D52" s="26" t="e">
        <f>IF(B52&gt;Inputs!$B$19,0,IF(C52&lt;Inputs!$B$6,(C52*Inputs!$B$7),IF(Inputs!$B$15=Inputs!$B$12,(C52*Inputs!$B$7),IF(Inputs!$B$15=Inputs!$B$13,(C52*Inputs!$B$7),IF(Inputs!$B$15=Inputs!$B$14,(Inputs!$B$6*Inputs!$B$7),0)))))</f>
        <v>#N/A</v>
      </c>
      <c r="E52" s="26" t="e">
        <f>IF(B52&gt;Inputs!$B$19,0,IF(C52&lt;Inputs!$B$6,(C52*Inputs!$B$8),IF(Inputs!$B$15=Inputs!$B$12,(C52*Inputs!$B$7)-(Inputs!$B$6*(Inputs!$B$7-Inputs!$B$8)),IF(Inputs!$B$15=Inputs!$B$13,(Inputs!$B$6*Inputs!$B$8),IF(Inputs!$B$15=Inputs!$B$14,(Inputs!$B$6*Inputs!$B$8),0)))))</f>
        <v>#N/A</v>
      </c>
      <c r="F52" s="25" t="e">
        <f>IF(B52&gt;Inputs!$B$19,0,IF(C52&lt;Inputs!$B$6,(C52*Inputs!$B$7)+(C52*Inputs!$B$8),IF(Inputs!$B$15=Inputs!$B$12,(C52*Inputs!$B$7)+(C52*Inputs!$B$7)-(Inputs!$B$6*(Inputs!$B$7-Inputs!$B$8)),IF(Inputs!$B$15=Inputs!$B$13,(C52*Inputs!$B$7)+(Inputs!$B$6*Inputs!$B$8),IF(Inputs!$B$15=Inputs!$B$14,(Inputs!$B$6*Inputs!$B$7)+(Inputs!$B$6*Inputs!$B$8),0)))))</f>
        <v>#N/A</v>
      </c>
      <c r="G52" s="29">
        <f>IF(A51&gt;=Inputs!$B$18,"",H51)</f>
      </c>
      <c r="H52" s="25">
        <f>IF(A51&gt;=Inputs!$B$18,"",(H51+12*F52)*(1+Inputs!$B$10))</f>
      </c>
      <c r="I52" s="25">
        <f>IF(A51&gt;=Inputs!$B$18,"",J51)</f>
      </c>
      <c r="J52" s="36" t="e">
        <f>IF(A51&gt;=Inputs!$B$18,NA(),(J51+12*E52)*(1+Inputs!$B$10))</f>
        <v>#N/A</v>
      </c>
      <c r="K52" s="25" t="e">
        <f>IF(A51&gt;=Inputs!$B$18,NA(),IF(B52&lt;57,H52-J52,IF(B52&lt;58,90%*H52,H52)))</f>
        <v>#N/A</v>
      </c>
      <c r="L52" s="34">
        <f>IF(C52&lt;Inputs!$B$6,Inputs!$B$9*(Inputs!$B$7-Inputs!$B$8),Inputs!$B$6*(Inputs!$B$7-Inputs!$B$8))</f>
        <v>1249.4999999999998</v>
      </c>
      <c r="M52" s="38" t="e">
        <f>IF(A51&gt;=Inputs!$B$18,NA(),K52/H52)</f>
        <v>#N/A</v>
      </c>
      <c r="N52" s="19">
        <f>IF(A51&gt;=Inputs!$B$18,"",O51)</f>
      </c>
      <c r="O52" s="19">
        <f>IF(A51&gt;=Inputs!$B$18,"",O51+12*L52)</f>
      </c>
      <c r="P52" s="19">
        <f>IF(A51&gt;=Inputs!$B$18,"",12*IF(C52&lt;Inputs!$B$6,1.61%*C52,1.61%*Inputs!$B$6))</f>
      </c>
    </row>
    <row r="53" spans="1:16" ht="14.25">
      <c r="A53" s="29">
        <f>IF(A52&gt;=Inputs!$B$18,"",A52+1)</f>
      </c>
      <c r="B53" s="11" t="e">
        <f>IF(A52&gt;=Inputs!$B$18,NA(),B52+1)</f>
        <v>#N/A</v>
      </c>
      <c r="C53" s="21">
        <f>IF(A52&gt;=Inputs!$B$18,"",C52*(1+Inputs!$B$17))</f>
      </c>
      <c r="D53" s="26" t="e">
        <f>IF(B53&gt;Inputs!$B$19,0,IF(C53&lt;Inputs!$B$6,(C53*Inputs!$B$7),IF(Inputs!$B$15=Inputs!$B$12,(C53*Inputs!$B$7),IF(Inputs!$B$15=Inputs!$B$13,(C53*Inputs!$B$7),IF(Inputs!$B$15=Inputs!$B$14,(Inputs!$B$6*Inputs!$B$7),0)))))</f>
        <v>#N/A</v>
      </c>
      <c r="E53" s="26" t="e">
        <f>IF(B53&gt;Inputs!$B$19,0,IF(C53&lt;Inputs!$B$6,(C53*Inputs!$B$8),IF(Inputs!$B$15=Inputs!$B$12,(C53*Inputs!$B$7)-(Inputs!$B$6*(Inputs!$B$7-Inputs!$B$8)),IF(Inputs!$B$15=Inputs!$B$13,(Inputs!$B$6*Inputs!$B$8),IF(Inputs!$B$15=Inputs!$B$14,(Inputs!$B$6*Inputs!$B$8),0)))))</f>
        <v>#N/A</v>
      </c>
      <c r="F53" s="25" t="e">
        <f>IF(B53&gt;Inputs!$B$19,0,IF(C53&lt;Inputs!$B$6,(C53*Inputs!$B$7)+(C53*Inputs!$B$8),IF(Inputs!$B$15=Inputs!$B$12,(C53*Inputs!$B$7)+(C53*Inputs!$B$7)-(Inputs!$B$6*(Inputs!$B$7-Inputs!$B$8)),IF(Inputs!$B$15=Inputs!$B$13,(C53*Inputs!$B$7)+(Inputs!$B$6*Inputs!$B$8),IF(Inputs!$B$15=Inputs!$B$14,(Inputs!$B$6*Inputs!$B$7)+(Inputs!$B$6*Inputs!$B$8),0)))))</f>
        <v>#N/A</v>
      </c>
      <c r="G53" s="29">
        <f>IF(A52&gt;=Inputs!$B$18,"",H52)</f>
      </c>
      <c r="H53" s="25">
        <f>IF(A52&gt;=Inputs!$B$18,"",(H52+12*F53)*(1+Inputs!$B$10))</f>
      </c>
      <c r="I53" s="25">
        <f>IF(A52&gt;=Inputs!$B$18,"",J52)</f>
      </c>
      <c r="J53" s="36" t="e">
        <f>IF(A52&gt;=Inputs!$B$18,NA(),(J52+12*E53)*(1+Inputs!$B$10))</f>
        <v>#N/A</v>
      </c>
      <c r="K53" s="25" t="e">
        <f>IF(A52&gt;=Inputs!$B$18,NA(),IF(B53&lt;57,H53-J53,IF(B53&lt;58,90%*H53,H53)))</f>
        <v>#N/A</v>
      </c>
      <c r="L53" s="34">
        <f>IF(C53&lt;Inputs!$B$6,Inputs!$B$9*(Inputs!$B$7-Inputs!$B$8),Inputs!$B$6*(Inputs!$B$7-Inputs!$B$8))</f>
        <v>1249.4999999999998</v>
      </c>
      <c r="M53" s="38" t="e">
        <f>IF(A52&gt;=Inputs!$B$18,NA(),K53/H53)</f>
        <v>#N/A</v>
      </c>
      <c r="N53" s="19">
        <f>IF(A52&gt;=Inputs!$B$18,"",O52)</f>
      </c>
      <c r="O53" s="19">
        <f>IF(A52&gt;=Inputs!$B$18,"",O52+12*L53)</f>
      </c>
      <c r="P53" s="19">
        <f>IF(A52&gt;=Inputs!$B$18,"",12*IF(C53&lt;Inputs!$B$6,1.61%*C53,1.61%*Inputs!$B$6))</f>
      </c>
    </row>
  </sheetData>
  <sheetProtection/>
  <mergeCells count="4">
    <mergeCell ref="D1:F1"/>
    <mergeCell ref="G1:H1"/>
    <mergeCell ref="N1:O1"/>
    <mergeCell ref="I1: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pattabiraman</cp:lastModifiedBy>
  <dcterms:created xsi:type="dcterms:W3CDTF">2015-06-10T08:27:43Z</dcterms:created>
  <dcterms:modified xsi:type="dcterms:W3CDTF">2016-02-27T07:13:28Z</dcterms:modified>
  <cp:category/>
  <cp:version/>
  <cp:contentType/>
  <cp:contentStatus/>
</cp:coreProperties>
</file>