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6" windowWidth="19416" windowHeight="7560" activeTab="0"/>
  </bookViews>
  <sheets>
    <sheet name="Inputs" sheetId="1" r:id="rId1"/>
    <sheet name="Contribution schedule" sheetId="2" r:id="rId2"/>
    <sheet name="efective tax rates" sheetId="3" r:id="rId3"/>
  </sheets>
  <definedNames/>
  <calcPr fullCalcOnLoad="1"/>
</workbook>
</file>

<file path=xl/sharedStrings.xml><?xml version="1.0" encoding="utf-8"?>
<sst xmlns="http://schemas.openxmlformats.org/spreadsheetml/2006/main" count="91" uniqueCount="75">
  <si>
    <t>Current rate of interest</t>
  </si>
  <si>
    <t>Employee contribution to EPF</t>
  </si>
  <si>
    <t>Employer contribution to EPF</t>
  </si>
  <si>
    <t>Method 1</t>
  </si>
  <si>
    <t>Method 2</t>
  </si>
  <si>
    <t>Method 3</t>
  </si>
  <si>
    <r>
      <rPr>
        <b/>
        <sz val="10"/>
        <rFont val="Arial"/>
        <family val="2"/>
      </rPr>
      <t>Employee:</t>
    </r>
    <r>
      <rPr>
        <sz val="10"/>
        <rFont val="Arial"/>
        <family val="2"/>
      </rPr>
      <t xml:space="preserve"> Basic x 12%   </t>
    </r>
    <r>
      <rPr>
        <b/>
        <sz val="10"/>
        <rFont val="Arial"/>
        <family val="2"/>
      </rPr>
      <t>Employer:</t>
    </r>
    <r>
      <rPr>
        <sz val="10"/>
        <rFont val="Arial"/>
        <family val="2"/>
      </rPr>
      <t>Basic x 12% - (15000 x 8.33%)</t>
    </r>
  </si>
  <si>
    <r>
      <rPr>
        <b/>
        <sz val="10"/>
        <rFont val="Arial"/>
        <family val="2"/>
      </rPr>
      <t>Employee:</t>
    </r>
    <r>
      <rPr>
        <sz val="10"/>
        <rFont val="Arial"/>
        <family val="2"/>
      </rPr>
      <t xml:space="preserve"> Basic x 12%   </t>
    </r>
    <r>
      <rPr>
        <b/>
        <sz val="10"/>
        <rFont val="Arial"/>
        <family val="2"/>
      </rPr>
      <t>Employer:</t>
    </r>
    <r>
      <rPr>
        <sz val="10"/>
        <rFont val="Arial"/>
        <family val="2"/>
      </rPr>
      <t>15000 x 3.67%</t>
    </r>
  </si>
  <si>
    <r>
      <rPr>
        <b/>
        <sz val="10"/>
        <rFont val="Arial"/>
        <family val="2"/>
      </rPr>
      <t>Employee:</t>
    </r>
    <r>
      <rPr>
        <sz val="10"/>
        <rFont val="Arial"/>
        <family val="2"/>
      </rPr>
      <t xml:space="preserve"> 15000  x 12%   </t>
    </r>
    <r>
      <rPr>
        <b/>
        <sz val="10"/>
        <rFont val="Arial"/>
        <family val="2"/>
      </rPr>
      <t>Employer:</t>
    </r>
    <r>
      <rPr>
        <sz val="10"/>
        <rFont val="Arial"/>
        <family val="2"/>
      </rPr>
      <t>15000 x 3.67%</t>
    </r>
  </si>
  <si>
    <t>EPF expenses each month</t>
  </si>
  <si>
    <t>Year</t>
  </si>
  <si>
    <t>Basic Pay</t>
  </si>
  <si>
    <t>Expected EPF Corpus with same rate of interest</t>
  </si>
  <si>
    <t xml:space="preserve">Expected EPS Corpus </t>
  </si>
  <si>
    <t>There are 3 methods of computing contributions if salary is above threshold limit*</t>
  </si>
  <si>
    <t>*Source:  http://www.bemoneyaware.com/blog/epf/</t>
  </si>
  <si>
    <t>Monthly Contribution</t>
  </si>
  <si>
    <t>Employee</t>
  </si>
  <si>
    <t xml:space="preserve">Employer </t>
  </si>
  <si>
    <t>Total</t>
  </si>
  <si>
    <t>opening</t>
  </si>
  <si>
    <t>closing</t>
  </si>
  <si>
    <t>EPS balance</t>
  </si>
  <si>
    <t xml:space="preserve">EPS  </t>
  </si>
  <si>
    <t>monthly contribution</t>
  </si>
  <si>
    <t xml:space="preserve">EPF </t>
  </si>
  <si>
    <t>annual expenses</t>
  </si>
  <si>
    <t>Total monthly contribution to EPF in first year</t>
  </si>
  <si>
    <t>Rate at which basic pay increases</t>
  </si>
  <si>
    <t>Choose method which matches with your pay slip</t>
  </si>
  <si>
    <t>Threshold for mandatory EPF contribution. Old limit: 6500; New limit 15,000</t>
  </si>
  <si>
    <t>Withdrawal Limit</t>
  </si>
  <si>
    <t>closing balance</t>
  </si>
  <si>
    <t xml:space="preserve">Age at </t>
  </si>
  <si>
    <t>Current EPF Balance (from employer contribution alone)</t>
  </si>
  <si>
    <t>% corpus</t>
  </si>
  <si>
    <t>that can be withdrawn</t>
  </si>
  <si>
    <t>Age up to which you want to calculate the corpus</t>
  </si>
  <si>
    <t>Age at which you wish to quit your job</t>
  </si>
  <si>
    <t xml:space="preserve"> EPF balance due to employer contribution</t>
  </si>
  <si>
    <r>
      <rPr>
        <b/>
        <sz val="10"/>
        <rFont val="Arial"/>
        <family val="2"/>
      </rPr>
      <t xml:space="preserve">Total </t>
    </r>
    <r>
      <rPr>
        <sz val="10"/>
        <rFont val="Arial"/>
        <family val="2"/>
      </rPr>
      <t>EPF balance (tax -free)</t>
    </r>
  </si>
  <si>
    <t>Tax Slab</t>
  </si>
  <si>
    <t>Case 1: only Interest is taxed</t>
  </si>
  <si>
    <t>Tax free</t>
  </si>
  <si>
    <t>Contributions on or after 1st April 2016</t>
  </si>
  <si>
    <t>40% of interest earned on above contributions</t>
  </si>
  <si>
    <t>60% of interest earned on above contributions</t>
  </si>
  <si>
    <t>Sum</t>
  </si>
  <si>
    <t>effective tax rate</t>
  </si>
  <si>
    <t>Case 2: both Interest and contributions taxed</t>
  </si>
  <si>
    <t>40% of Contributions on or after 1st April 2016</t>
  </si>
  <si>
    <t>60% of Contributions on or after 1st April 2016</t>
  </si>
  <si>
    <t>EPF total contributions after 1st April 2016</t>
  </si>
  <si>
    <r>
      <rPr>
        <b/>
        <sz val="10"/>
        <rFont val="Arial"/>
        <family val="2"/>
      </rPr>
      <t>EPF total interest</t>
    </r>
    <r>
      <rPr>
        <sz val="10"/>
        <rFont val="Arial"/>
        <family val="2"/>
      </rPr>
      <t xml:space="preserve"> after 1st April 2016</t>
    </r>
  </si>
  <si>
    <t>As on march 31st 2016 how old is your EPF acct (please round off) Use 1 for new account</t>
  </si>
  <si>
    <t>Tax Slab when you retire</t>
  </si>
  <si>
    <t>What is taxed?</t>
  </si>
  <si>
    <t>Entire Corpus  from contributions after 1st April 2016</t>
  </si>
  <si>
    <t>Only interest from contributions from 1st April 2016</t>
  </si>
  <si>
    <t>That is, Net Corpus = Tax-free Corpus x(1-etr)</t>
  </si>
  <si>
    <t>Effective tax rate (etr)</t>
  </si>
  <si>
    <t>IRR</t>
  </si>
  <si>
    <t>Answer is right only if</t>
  </si>
  <si>
    <t>yellow cell is zero. Else</t>
  </si>
  <si>
    <r>
      <t xml:space="preserve">Check </t>
    </r>
    <r>
      <rPr>
        <b/>
        <sz val="11"/>
        <color indexed="8"/>
        <rFont val="Calibri"/>
        <family val="2"/>
      </rPr>
      <t>ALL inputs</t>
    </r>
  </si>
  <si>
    <t>Corpus from EPF balance on 31 March 2016</t>
  </si>
  <si>
    <t>Consistency Check</t>
  </si>
  <si>
    <t xml:space="preserve"> EPF Corpus Calculator -freefincal.com</t>
  </si>
  <si>
    <t>If your inputs are correct and the yellow cell is not zero,</t>
  </si>
  <si>
    <t>email the sheet to freefincal@gmail.com</t>
  </si>
  <si>
    <t>New Withdrawal rules introduced a few days before budget have been supressed in this sheet. Corpus is assumed to locked in until age 58.</t>
  </si>
  <si>
    <t>EPF Balance as on March 31st 2016 (approx)</t>
  </si>
  <si>
    <t>EPS Balance as on March 31st 2016 (not necessary for now)</t>
  </si>
  <si>
    <t>Basic Pay as on March 31st 2016</t>
  </si>
  <si>
    <t>Age as on March 31st 2016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</si>
</sst>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_ * #,##0_ ;_ * \-#,##0_ ;_ * &quot;-&quot;??_ ;_ @_ "/>
    <numFmt numFmtId="179" formatCode="0.0"/>
    <numFmt numFmtId="180" formatCode="0.0%"/>
    <numFmt numFmtId="181" formatCode="[$-4009]dd\ mmmm\ yyyy"/>
    <numFmt numFmtId="182" formatCode="0.0000%"/>
    <numFmt numFmtId="183" formatCode="0.000%"/>
    <numFmt numFmtId="184" formatCode="0.00000%"/>
    <numFmt numFmtId="185" formatCode="_ * #,##0.00000_ ;_ * \-#,##0.00000_ ;_ * &quot;-&quot;?????_ ;_ @_ "/>
    <numFmt numFmtId="186" formatCode="_ * #,##0.0_ ;_ * \-#,##0.0_ ;_ * &quot;-&quot;??_ ;_ @_ 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 * #,##0.000_ ;_ * \-#,##0.000_ ;_ * &quot;-&quot;??_ ;_ @_ "/>
    <numFmt numFmtId="193" formatCode="_(* #,##0_);_(* \(#,##0\);_(* &quot;-&quot;??_);_(@_)"/>
    <numFmt numFmtId="194" formatCode="[$-409]dddd\,\ mmmm\ dd\,\ yyyy"/>
    <numFmt numFmtId="195" formatCode="[$-409]h:mm:ss\ AM/PM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%"/>
    <numFmt numFmtId="201" formatCode="0.00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78" fontId="3" fillId="0" borderId="10" xfId="42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5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35" borderId="10" xfId="0" applyFont="1" applyFill="1" applyBorder="1" applyAlignment="1">
      <alignment/>
    </xf>
    <xf numFmtId="178" fontId="3" fillId="34" borderId="10" xfId="42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40" fillId="34" borderId="10" xfId="0" applyNumberFormat="1" applyFont="1" applyFill="1" applyBorder="1" applyAlignment="1">
      <alignment/>
    </xf>
    <xf numFmtId="9" fontId="3" fillId="33" borderId="10" xfId="0" applyNumberFormat="1" applyFont="1" applyFill="1" applyBorder="1" applyAlignment="1">
      <alignment horizontal="center"/>
    </xf>
    <xf numFmtId="43" fontId="3" fillId="0" borderId="10" xfId="42" applyFont="1" applyBorder="1" applyAlignment="1">
      <alignment horizontal="center"/>
    </xf>
    <xf numFmtId="178" fontId="3" fillId="36" borderId="10" xfId="42" applyNumberFormat="1" applyFont="1" applyFill="1" applyBorder="1" applyAlignment="1">
      <alignment horizontal="center"/>
    </xf>
    <xf numFmtId="178" fontId="3" fillId="34" borderId="10" xfId="42" applyNumberFormat="1" applyFont="1" applyFill="1" applyBorder="1" applyAlignment="1">
      <alignment/>
    </xf>
    <xf numFmtId="1" fontId="40" fillId="34" borderId="10" xfId="0" applyNumberFormat="1" applyFont="1" applyFill="1" applyBorder="1" applyAlignment="1">
      <alignment/>
    </xf>
    <xf numFmtId="178" fontId="3" fillId="34" borderId="10" xfId="42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3" fillId="0" borderId="11" xfId="0" applyFont="1" applyBorder="1" applyAlignment="1">
      <alignment horizontal="left"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/>
    </xf>
    <xf numFmtId="178" fontId="41" fillId="34" borderId="12" xfId="42" applyNumberFormat="1" applyFont="1" applyFill="1" applyBorder="1" applyAlignment="1">
      <alignment horizontal="center"/>
    </xf>
    <xf numFmtId="178" fontId="41" fillId="34" borderId="13" xfId="42" applyNumberFormat="1" applyFont="1" applyFill="1" applyBorder="1" applyAlignment="1">
      <alignment horizontal="center"/>
    </xf>
    <xf numFmtId="178" fontId="3" fillId="36" borderId="10" xfId="42" applyNumberFormat="1" applyFont="1" applyFill="1" applyBorder="1" applyAlignment="1">
      <alignment horizontal="center"/>
    </xf>
    <xf numFmtId="178" fontId="3" fillId="34" borderId="10" xfId="42" applyNumberFormat="1" applyFont="1" applyFill="1" applyBorder="1" applyAlignment="1">
      <alignment horizontal="center"/>
    </xf>
    <xf numFmtId="178" fontId="3" fillId="36" borderId="10" xfId="42" applyNumberFormat="1" applyFont="1" applyFill="1" applyBorder="1" applyAlignment="1">
      <alignment horizontal="center"/>
    </xf>
    <xf numFmtId="178" fontId="3" fillId="34" borderId="10" xfId="42" applyNumberFormat="1" applyFont="1" applyFill="1" applyBorder="1" applyAlignment="1">
      <alignment horizontal="center"/>
    </xf>
    <xf numFmtId="178" fontId="41" fillId="34" borderId="10" xfId="42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8" fontId="3" fillId="36" borderId="10" xfId="42" applyNumberFormat="1" applyFont="1" applyFill="1" applyBorder="1" applyAlignment="1">
      <alignment/>
    </xf>
    <xf numFmtId="178" fontId="3" fillId="37" borderId="10" xfId="42" applyNumberFormat="1" applyFont="1" applyFill="1" applyBorder="1" applyAlignment="1">
      <alignment horizontal="center"/>
    </xf>
    <xf numFmtId="178" fontId="3" fillId="37" borderId="10" xfId="42" applyNumberFormat="1" applyFont="1" applyFill="1" applyBorder="1" applyAlignment="1">
      <alignment/>
    </xf>
    <xf numFmtId="0" fontId="0" fillId="37" borderId="0" xfId="0" applyFill="1" applyAlignment="1">
      <alignment/>
    </xf>
    <xf numFmtId="178" fontId="3" fillId="38" borderId="10" xfId="42" applyNumberFormat="1" applyFont="1" applyFill="1" applyBorder="1" applyAlignment="1">
      <alignment/>
    </xf>
    <xf numFmtId="178" fontId="3" fillId="38" borderId="10" xfId="42" applyNumberFormat="1" applyFont="1" applyFill="1" applyBorder="1" applyAlignment="1">
      <alignment horizontal="center"/>
    </xf>
    <xf numFmtId="0" fontId="0" fillId="38" borderId="10" xfId="0" applyFill="1" applyBorder="1" applyAlignment="1">
      <alignment/>
    </xf>
    <xf numFmtId="1" fontId="40" fillId="38" borderId="10" xfId="0" applyNumberFormat="1" applyFont="1" applyFill="1" applyBorder="1" applyAlignment="1">
      <alignment/>
    </xf>
    <xf numFmtId="1" fontId="40" fillId="38" borderId="10" xfId="0" applyNumberFormat="1" applyFont="1" applyFill="1" applyBorder="1" applyAlignment="1">
      <alignment/>
    </xf>
    <xf numFmtId="0" fontId="0" fillId="38" borderId="0" xfId="0" applyFill="1" applyAlignment="1">
      <alignment/>
    </xf>
    <xf numFmtId="178" fontId="3" fillId="19" borderId="10" xfId="42" applyNumberFormat="1" applyFont="1" applyFill="1" applyBorder="1" applyAlignment="1">
      <alignment horizontal="center"/>
    </xf>
    <xf numFmtId="178" fontId="3" fillId="19" borderId="10" xfId="42" applyNumberFormat="1" applyFont="1" applyFill="1" applyBorder="1" applyAlignment="1">
      <alignment/>
    </xf>
    <xf numFmtId="0" fontId="0" fillId="19" borderId="0" xfId="0" applyFill="1" applyAlignment="1">
      <alignment/>
    </xf>
    <xf numFmtId="0" fontId="38" fillId="0" borderId="0" xfId="0" applyFont="1" applyAlignment="1">
      <alignment/>
    </xf>
    <xf numFmtId="10" fontId="38" fillId="0" borderId="0" xfId="0" applyNumberFormat="1" applyFont="1" applyAlignment="1">
      <alignment/>
    </xf>
    <xf numFmtId="193" fontId="0" fillId="0" borderId="0" xfId="42" applyNumberFormat="1" applyFont="1" applyAlignment="1">
      <alignment/>
    </xf>
    <xf numFmtId="10" fontId="0" fillId="0" borderId="0" xfId="57" applyNumberFormat="1" applyFon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38" borderId="0" xfId="0" applyNumberFormat="1" applyFill="1" applyAlignment="1">
      <alignment/>
    </xf>
    <xf numFmtId="193" fontId="0" fillId="0" borderId="0" xfId="0" applyNumberFormat="1" applyAlignment="1">
      <alignment/>
    </xf>
    <xf numFmtId="193" fontId="0" fillId="38" borderId="0" xfId="0" applyNumberFormat="1" applyFill="1" applyAlignment="1">
      <alignment/>
    </xf>
    <xf numFmtId="178" fontId="42" fillId="34" borderId="10" xfId="42" applyNumberFormat="1" applyFont="1" applyFill="1" applyBorder="1" applyAlignment="1">
      <alignment/>
    </xf>
    <xf numFmtId="178" fontId="39" fillId="0" borderId="10" xfId="0" applyNumberFormat="1" applyFont="1" applyBorder="1" applyAlignment="1">
      <alignment/>
    </xf>
    <xf numFmtId="178" fontId="42" fillId="34" borderId="12" xfId="42" applyNumberFormat="1" applyFont="1" applyFill="1" applyBorder="1" applyAlignment="1">
      <alignment/>
    </xf>
    <xf numFmtId="9" fontId="39" fillId="0" borderId="0" xfId="57" applyFont="1" applyAlignment="1">
      <alignment/>
    </xf>
    <xf numFmtId="178" fontId="42" fillId="36" borderId="10" xfId="42" applyNumberFormat="1" applyFont="1" applyFill="1" applyBorder="1" applyAlignment="1">
      <alignment/>
    </xf>
    <xf numFmtId="178" fontId="39" fillId="36" borderId="10" xfId="0" applyNumberFormat="1" applyFont="1" applyFill="1" applyBorder="1" applyAlignment="1">
      <alignment/>
    </xf>
    <xf numFmtId="178" fontId="42" fillId="36" borderId="12" xfId="42" applyNumberFormat="1" applyFont="1" applyFill="1" applyBorder="1" applyAlignment="1">
      <alignment/>
    </xf>
    <xf numFmtId="9" fontId="39" fillId="36" borderId="0" xfId="57" applyFont="1" applyFill="1" applyAlignment="1">
      <alignment/>
    </xf>
    <xf numFmtId="178" fontId="42" fillId="38" borderId="10" xfId="42" applyNumberFormat="1" applyFont="1" applyFill="1" applyBorder="1" applyAlignment="1">
      <alignment/>
    </xf>
    <xf numFmtId="178" fontId="39" fillId="38" borderId="10" xfId="0" applyNumberFormat="1" applyFont="1" applyFill="1" applyBorder="1" applyAlignment="1">
      <alignment/>
    </xf>
    <xf numFmtId="178" fontId="42" fillId="38" borderId="12" xfId="42" applyNumberFormat="1" applyFont="1" applyFill="1" applyBorder="1" applyAlignment="1">
      <alignment/>
    </xf>
    <xf numFmtId="9" fontId="39" fillId="38" borderId="0" xfId="57" applyFont="1" applyFill="1" applyAlignment="1">
      <alignment/>
    </xf>
    <xf numFmtId="0" fontId="39" fillId="0" borderId="0" xfId="0" applyFont="1" applyAlignment="1">
      <alignment/>
    </xf>
    <xf numFmtId="178" fontId="39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178" fontId="3" fillId="36" borderId="10" xfId="42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78" fontId="3" fillId="37" borderId="10" xfId="42" applyNumberFormat="1" applyFont="1" applyFill="1" applyBorder="1" applyAlignment="1">
      <alignment horizontal="center" wrapText="1"/>
    </xf>
    <xf numFmtId="178" fontId="3" fillId="19" borderId="10" xfId="42" applyNumberFormat="1" applyFont="1" applyFill="1" applyBorder="1" applyAlignment="1">
      <alignment horizontal="center" wrapText="1"/>
    </xf>
    <xf numFmtId="178" fontId="41" fillId="34" borderId="10" xfId="42" applyNumberFormat="1" applyFont="1" applyFill="1" applyBorder="1" applyAlignment="1">
      <alignment horizontal="center" wrapText="1"/>
    </xf>
    <xf numFmtId="178" fontId="41" fillId="34" borderId="12" xfId="42" applyNumberFormat="1" applyFont="1" applyFill="1" applyBorder="1" applyAlignment="1">
      <alignment horizontal="center" wrapText="1"/>
    </xf>
    <xf numFmtId="178" fontId="41" fillId="34" borderId="13" xfId="42" applyNumberFormat="1" applyFont="1" applyFill="1" applyBorder="1" applyAlignment="1">
      <alignment horizontal="center" wrapText="1"/>
    </xf>
    <xf numFmtId="178" fontId="3" fillId="34" borderId="10" xfId="42" applyNumberFormat="1" applyFont="1" applyFill="1" applyBorder="1" applyAlignment="1">
      <alignment horizontal="center" wrapText="1"/>
    </xf>
    <xf numFmtId="178" fontId="3" fillId="36" borderId="10" xfId="42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178" fontId="3" fillId="33" borderId="14" xfId="42" applyNumberFormat="1" applyFont="1" applyFill="1" applyBorder="1" applyAlignment="1">
      <alignment horizontal="center"/>
    </xf>
    <xf numFmtId="178" fontId="3" fillId="33" borderId="14" xfId="42" applyNumberFormat="1" applyFont="1" applyFill="1" applyBorder="1" applyAlignment="1">
      <alignment/>
    </xf>
    <xf numFmtId="9" fontId="3" fillId="33" borderId="14" xfId="57" applyFont="1" applyFill="1" applyBorder="1" applyAlignment="1">
      <alignment horizontal="center"/>
    </xf>
    <xf numFmtId="10" fontId="3" fillId="33" borderId="14" xfId="57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84" fontId="3" fillId="33" borderId="14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3" fillId="0" borderId="16" xfId="0" applyFont="1" applyBorder="1" applyAlignment="1">
      <alignment/>
    </xf>
    <xf numFmtId="178" fontId="0" fillId="0" borderId="0" xfId="42" applyNumberFormat="1" applyFont="1" applyAlignment="1">
      <alignment/>
    </xf>
    <xf numFmtId="43" fontId="0" fillId="38" borderId="0" xfId="0" applyNumberFormat="1" applyFill="1" applyAlignment="1">
      <alignment/>
    </xf>
    <xf numFmtId="10" fontId="0" fillId="39" borderId="0" xfId="0" applyNumberFormat="1" applyFill="1" applyAlignment="1">
      <alignment/>
    </xf>
    <xf numFmtId="4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" fontId="40" fillId="0" borderId="10" xfId="0" applyNumberFormat="1" applyFont="1" applyFill="1" applyBorder="1" applyAlignment="1">
      <alignment/>
    </xf>
    <xf numFmtId="178" fontId="3" fillId="0" borderId="10" xfId="42" applyNumberFormat="1" applyFont="1" applyFill="1" applyBorder="1" applyAlignment="1">
      <alignment/>
    </xf>
    <xf numFmtId="178" fontId="3" fillId="0" borderId="10" xfId="42" applyNumberFormat="1" applyFont="1" applyFill="1" applyBorder="1" applyAlignment="1">
      <alignment horizontal="center"/>
    </xf>
    <xf numFmtId="178" fontId="3" fillId="36" borderId="14" xfId="42" applyNumberFormat="1" applyFont="1" applyFill="1" applyBorder="1" applyAlignment="1">
      <alignment wrapText="1"/>
    </xf>
    <xf numFmtId="2" fontId="3" fillId="35" borderId="14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1" fontId="0" fillId="38" borderId="21" xfId="0" applyNumberFormat="1" applyFill="1" applyBorder="1" applyAlignment="1">
      <alignment horizontal="center"/>
    </xf>
    <xf numFmtId="178" fontId="3" fillId="33" borderId="22" xfId="42" applyNumberFormat="1" applyFont="1" applyFill="1" applyBorder="1" applyAlignment="1">
      <alignment horizontal="center"/>
    </xf>
    <xf numFmtId="180" fontId="0" fillId="40" borderId="23" xfId="57" applyNumberFormat="1" applyFont="1" applyFill="1" applyBorder="1" applyAlignment="1">
      <alignment horizontal="center"/>
    </xf>
    <xf numFmtId="0" fontId="38" fillId="0" borderId="24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0" fontId="43" fillId="34" borderId="28" xfId="0" applyNumberFormat="1" applyFont="1" applyFill="1" applyBorder="1" applyAlignment="1">
      <alignment horizontal="center"/>
    </xf>
    <xf numFmtId="10" fontId="43" fillId="34" borderId="29" xfId="0" applyNumberFormat="1" applyFont="1" applyFill="1" applyBorder="1" applyAlignment="1">
      <alignment horizontal="center"/>
    </xf>
    <xf numFmtId="10" fontId="43" fillId="34" borderId="30" xfId="0" applyNumberFormat="1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40" borderId="31" xfId="0" applyFill="1" applyBorder="1" applyAlignment="1">
      <alignment horizontal="left"/>
    </xf>
    <xf numFmtId="0" fontId="0" fillId="40" borderId="10" xfId="0" applyFill="1" applyBorder="1" applyAlignment="1">
      <alignment horizontal="left"/>
    </xf>
    <xf numFmtId="0" fontId="0" fillId="40" borderId="32" xfId="0" applyFill="1" applyBorder="1" applyAlignment="1">
      <alignment horizontal="left"/>
    </xf>
    <xf numFmtId="0" fontId="38" fillId="34" borderId="31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32" xfId="0" applyFont="1" applyFill="1" applyBorder="1" applyAlignment="1">
      <alignment horizontal="center"/>
    </xf>
    <xf numFmtId="180" fontId="43" fillId="34" borderId="31" xfId="0" applyNumberFormat="1" applyFont="1" applyFill="1" applyBorder="1" applyAlignment="1">
      <alignment horizontal="center"/>
    </xf>
    <xf numFmtId="180" fontId="43" fillId="34" borderId="10" xfId="0" applyNumberFormat="1" applyFont="1" applyFill="1" applyBorder="1" applyAlignment="1">
      <alignment horizontal="center"/>
    </xf>
    <xf numFmtId="180" fontId="43" fillId="34" borderId="32" xfId="0" applyNumberFormat="1" applyFont="1" applyFill="1" applyBorder="1" applyAlignment="1">
      <alignment horizontal="center"/>
    </xf>
    <xf numFmtId="178" fontId="3" fillId="0" borderId="10" xfId="42" applyNumberFormat="1" applyFont="1" applyFill="1" applyBorder="1" applyAlignment="1">
      <alignment horizontal="center" wrapText="1"/>
    </xf>
    <xf numFmtId="178" fontId="3" fillId="34" borderId="14" xfId="42" applyNumberFormat="1" applyFont="1" applyFill="1" applyBorder="1" applyAlignment="1">
      <alignment horizontal="center" wrapText="1"/>
    </xf>
    <xf numFmtId="178" fontId="3" fillId="34" borderId="12" xfId="42" applyNumberFormat="1" applyFont="1" applyFill="1" applyBorder="1" applyAlignment="1">
      <alignment horizontal="center" wrapText="1"/>
    </xf>
    <xf numFmtId="178" fontId="3" fillId="36" borderId="10" xfId="42" applyNumberFormat="1" applyFont="1" applyFill="1" applyBorder="1" applyAlignment="1">
      <alignment horizontal="center" wrapText="1"/>
    </xf>
    <xf numFmtId="178" fontId="41" fillId="34" borderId="10" xfId="42" applyNumberFormat="1" applyFont="1" applyFill="1" applyBorder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10</xdr:row>
      <xdr:rowOff>76200</xdr:rowOff>
    </xdr:from>
    <xdr:to>
      <xdr:col>2</xdr:col>
      <xdr:colOff>238125</xdr:colOff>
      <xdr:row>11</xdr:row>
      <xdr:rowOff>95250</xdr:rowOff>
    </xdr:to>
    <xdr:sp>
      <xdr:nvSpPr>
        <xdr:cNvPr id="1" name="Straight Arrow Connector 4"/>
        <xdr:cNvSpPr>
          <a:spLocks/>
        </xdr:cNvSpPr>
      </xdr:nvSpPr>
      <xdr:spPr>
        <a:xfrm>
          <a:off x="5095875" y="1533525"/>
          <a:ext cx="352425" cy="2000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130" zoomScaleNormal="130" zoomScalePageLayoutView="0" workbookViewId="0" topLeftCell="A1">
      <selection activeCell="E25" sqref="E25"/>
    </sheetView>
  </sheetViews>
  <sheetFormatPr defaultColWidth="9.140625" defaultRowHeight="15"/>
  <cols>
    <col min="1" max="1" width="63.421875" style="0" customWidth="1"/>
    <col min="2" max="2" width="14.7109375" style="0" bestFit="1" customWidth="1"/>
    <col min="3" max="3" width="9.28125" style="0" bestFit="1" customWidth="1"/>
    <col min="4" max="4" width="12.28125" style="0" customWidth="1"/>
    <col min="5" max="5" width="24.7109375" style="0" customWidth="1"/>
  </cols>
  <sheetData>
    <row r="1" spans="1:17" ht="15" thickBot="1">
      <c r="A1" s="114" t="s">
        <v>67</v>
      </c>
      <c r="B1" s="115"/>
      <c r="C1" s="115"/>
      <c r="D1" s="115"/>
      <c r="E1" s="116"/>
      <c r="F1" s="5"/>
      <c r="G1" s="5"/>
      <c r="H1" s="5"/>
      <c r="I1" s="5"/>
      <c r="J1" s="5"/>
      <c r="N1">
        <f>INDEX(O1:P2,MATCH(C6,P1:P2,0),1)</f>
        <v>2</v>
      </c>
      <c r="O1" s="5">
        <v>1</v>
      </c>
      <c r="P1" t="s">
        <v>57</v>
      </c>
      <c r="Q1" s="83">
        <v>0</v>
      </c>
    </row>
    <row r="2" spans="1:17" ht="14.25">
      <c r="A2" s="21" t="s">
        <v>74</v>
      </c>
      <c r="B2" s="110">
        <v>30</v>
      </c>
      <c r="C2" s="93" t="s">
        <v>55</v>
      </c>
      <c r="D2" s="23"/>
      <c r="E2" s="111">
        <v>0.309</v>
      </c>
      <c r="F2" s="5"/>
      <c r="G2" s="5"/>
      <c r="H2" s="5"/>
      <c r="I2" s="5"/>
      <c r="J2" s="5"/>
      <c r="O2" s="5">
        <v>2</v>
      </c>
      <c r="P2" t="s">
        <v>58</v>
      </c>
      <c r="Q2" s="50">
        <v>0.103</v>
      </c>
    </row>
    <row r="3" spans="1:17" ht="14.25" hidden="1">
      <c r="A3" s="21" t="s">
        <v>54</v>
      </c>
      <c r="B3" s="85">
        <v>1</v>
      </c>
      <c r="C3" s="93"/>
      <c r="D3" s="20"/>
      <c r="E3" s="94"/>
      <c r="F3" s="5"/>
      <c r="G3" s="5"/>
      <c r="H3" s="5"/>
      <c r="I3" s="5"/>
      <c r="J3" s="5"/>
      <c r="O3" s="5"/>
      <c r="Q3" s="50">
        <v>0.206</v>
      </c>
    </row>
    <row r="4" spans="1:17" ht="14.25">
      <c r="A4" s="1" t="s">
        <v>71</v>
      </c>
      <c r="B4" s="85">
        <v>500000</v>
      </c>
      <c r="C4" s="120" t="s">
        <v>56</v>
      </c>
      <c r="D4" s="121"/>
      <c r="E4" s="122"/>
      <c r="F4" s="5"/>
      <c r="G4" s="5"/>
      <c r="H4" s="5"/>
      <c r="I4" s="5"/>
      <c r="J4" s="5"/>
      <c r="O4" s="5"/>
      <c r="Q4" s="50">
        <v>0.309</v>
      </c>
    </row>
    <row r="5" spans="1:15" ht="14.25" hidden="1">
      <c r="A5" s="1" t="s">
        <v>34</v>
      </c>
      <c r="B5" s="85"/>
      <c r="C5" s="93"/>
      <c r="D5" s="20"/>
      <c r="E5" s="94"/>
      <c r="F5" s="5"/>
      <c r="G5" s="5"/>
      <c r="H5" s="5"/>
      <c r="I5" s="5"/>
      <c r="J5" s="5"/>
      <c r="O5" s="5"/>
    </row>
    <row r="6" spans="1:15" ht="14.25">
      <c r="A6" s="1" t="s">
        <v>72</v>
      </c>
      <c r="B6" s="85"/>
      <c r="C6" s="123" t="s">
        <v>58</v>
      </c>
      <c r="D6" s="124"/>
      <c r="E6" s="125"/>
      <c r="F6" s="5"/>
      <c r="G6" s="5"/>
      <c r="H6" s="5"/>
      <c r="I6" s="5"/>
      <c r="J6" s="5"/>
      <c r="O6" s="5"/>
    </row>
    <row r="7" spans="1:15" ht="14.25">
      <c r="A7" s="1" t="s">
        <v>30</v>
      </c>
      <c r="B7" s="86">
        <v>15000</v>
      </c>
      <c r="C7" s="95"/>
      <c r="D7" s="20"/>
      <c r="E7" s="94"/>
      <c r="F7" s="5"/>
      <c r="G7" s="5"/>
      <c r="H7" s="5"/>
      <c r="I7" s="5"/>
      <c r="J7" s="5"/>
      <c r="O7" s="5"/>
    </row>
    <row r="8" spans="1:15" ht="14.25">
      <c r="A8" s="1" t="s">
        <v>1</v>
      </c>
      <c r="B8" s="87">
        <v>0.12</v>
      </c>
      <c r="C8" s="126" t="s">
        <v>60</v>
      </c>
      <c r="D8" s="127"/>
      <c r="E8" s="128"/>
      <c r="F8" s="5"/>
      <c r="G8" s="5"/>
      <c r="H8" s="5"/>
      <c r="I8" s="5"/>
      <c r="J8" s="5"/>
      <c r="O8" s="5"/>
    </row>
    <row r="9" spans="1:15" ht="14.25">
      <c r="A9" s="1" t="s">
        <v>2</v>
      </c>
      <c r="B9" s="88">
        <v>0.0367</v>
      </c>
      <c r="C9" s="93" t="s">
        <v>59</v>
      </c>
      <c r="D9" s="20"/>
      <c r="E9" s="94"/>
      <c r="F9" s="5"/>
      <c r="G9" s="5"/>
      <c r="H9" s="5"/>
      <c r="I9" s="5"/>
      <c r="J9" s="5"/>
      <c r="O9" s="5"/>
    </row>
    <row r="10" spans="1:15" ht="14.25">
      <c r="A10" s="1" t="s">
        <v>73</v>
      </c>
      <c r="B10" s="89">
        <v>100000</v>
      </c>
      <c r="C10" s="129">
        <f>'efective tax rates'!K8</f>
        <v>0.11942365214930828</v>
      </c>
      <c r="D10" s="130"/>
      <c r="E10" s="131"/>
      <c r="F10" s="5"/>
      <c r="G10" s="5"/>
      <c r="H10" s="5"/>
      <c r="I10" s="5"/>
      <c r="J10" s="5"/>
      <c r="O10" s="5"/>
    </row>
    <row r="11" spans="1:15" ht="14.25">
      <c r="A11" s="1" t="s">
        <v>0</v>
      </c>
      <c r="B11" s="90">
        <v>0.088</v>
      </c>
      <c r="C11" s="126" t="str">
        <f>CONCATENATE("The IRR = ",B11*100,"% if tax-free")</f>
        <v>The IRR = 8.8% if tax-free</v>
      </c>
      <c r="D11" s="127"/>
      <c r="E11" s="128"/>
      <c r="F11" s="5"/>
      <c r="G11" s="5"/>
      <c r="H11" s="5"/>
      <c r="I11" s="5"/>
      <c r="J11" s="5"/>
      <c r="O11" s="5"/>
    </row>
    <row r="12" spans="1:15" ht="15" thickBot="1">
      <c r="A12" s="8" t="s">
        <v>14</v>
      </c>
      <c r="B12" s="91"/>
      <c r="C12" s="117">
        <f>'Contribution schedule'!AM2</f>
        <v>0.08065331599612889</v>
      </c>
      <c r="D12" s="118"/>
      <c r="E12" s="119"/>
      <c r="F12" s="5"/>
      <c r="G12" s="5"/>
      <c r="H12" s="5"/>
      <c r="I12" s="5"/>
      <c r="J12" s="5"/>
      <c r="O12" s="5"/>
    </row>
    <row r="13" spans="1:15" ht="14.25">
      <c r="A13" s="10" t="s">
        <v>6</v>
      </c>
      <c r="B13" s="105" t="s">
        <v>3</v>
      </c>
      <c r="C13" s="92" t="s">
        <v>62</v>
      </c>
      <c r="D13" s="106"/>
      <c r="E13" s="112" t="s">
        <v>66</v>
      </c>
      <c r="F13" s="5"/>
      <c r="G13" s="5"/>
      <c r="H13" s="5"/>
      <c r="I13" s="5"/>
      <c r="J13" s="5"/>
      <c r="O13" s="5"/>
    </row>
    <row r="14" spans="1:15" ht="15" thickBot="1">
      <c r="A14" s="10" t="s">
        <v>7</v>
      </c>
      <c r="B14" s="105" t="s">
        <v>4</v>
      </c>
      <c r="C14" s="93" t="s">
        <v>63</v>
      </c>
      <c r="D14" s="20"/>
      <c r="E14" s="113"/>
      <c r="F14" s="5"/>
      <c r="G14" s="5"/>
      <c r="H14" s="5"/>
      <c r="I14" s="5"/>
      <c r="J14" s="5"/>
      <c r="O14" s="5"/>
    </row>
    <row r="15" spans="1:15" ht="15" thickBot="1">
      <c r="A15" s="10" t="s">
        <v>8</v>
      </c>
      <c r="B15" s="105" t="s">
        <v>5</v>
      </c>
      <c r="C15" s="107" t="s">
        <v>64</v>
      </c>
      <c r="D15" s="108"/>
      <c r="E15" s="109">
        <f>'efective tax rates'!G9</f>
        <v>-8.940696716308594E-08</v>
      </c>
      <c r="F15" s="5"/>
      <c r="G15" s="5"/>
      <c r="H15" s="5"/>
      <c r="I15" s="5"/>
      <c r="J15" s="5"/>
      <c r="O15" s="5"/>
    </row>
    <row r="16" spans="1:15" ht="14.25">
      <c r="A16" s="1" t="s">
        <v>29</v>
      </c>
      <c r="B16" s="2" t="s">
        <v>3</v>
      </c>
      <c r="C16" s="5" t="s">
        <v>68</v>
      </c>
      <c r="D16" s="5"/>
      <c r="E16" s="5"/>
      <c r="F16" s="5"/>
      <c r="G16" s="5"/>
      <c r="H16" s="5"/>
      <c r="I16" s="5"/>
      <c r="J16" s="5"/>
      <c r="O16" s="5"/>
    </row>
    <row r="17" spans="1:15" ht="14.25">
      <c r="A17" s="1" t="s">
        <v>27</v>
      </c>
      <c r="B17" s="4">
        <f>IF(B10&lt;B7,(B10*B8)+(B10*B9),IF(B16=B13,(B10*B8)+(B10*B8)-(B7*(B8-B9)),IF(B16=B14,(B10*B8)+(B7*B9),IF(B16=B15,(B7*B8)+(B7*B9),0))))</f>
        <v>22750.5</v>
      </c>
      <c r="C17" s="5" t="s">
        <v>69</v>
      </c>
      <c r="D17" s="5"/>
      <c r="E17" s="5"/>
      <c r="F17" s="5"/>
      <c r="G17" s="5"/>
      <c r="H17" s="5"/>
      <c r="I17" s="5"/>
      <c r="J17" s="5"/>
      <c r="O17" s="5"/>
    </row>
    <row r="18" spans="1:15" ht="14.25">
      <c r="A18" s="1" t="s">
        <v>28</v>
      </c>
      <c r="B18" s="14">
        <v>0.03</v>
      </c>
      <c r="C18" s="5"/>
      <c r="D18" s="5"/>
      <c r="E18" s="5"/>
      <c r="F18" s="5"/>
      <c r="G18" s="5"/>
      <c r="H18" s="5"/>
      <c r="I18" s="5"/>
      <c r="J18" s="5"/>
      <c r="O18" s="5"/>
    </row>
    <row r="19" spans="1:15" ht="14.25" hidden="1">
      <c r="A19" s="1" t="s">
        <v>37</v>
      </c>
      <c r="B19" s="3">
        <v>60</v>
      </c>
      <c r="C19" s="5"/>
      <c r="D19" s="5"/>
      <c r="E19" s="5"/>
      <c r="F19" s="5"/>
      <c r="G19" s="5"/>
      <c r="H19" s="5"/>
      <c r="I19" s="5"/>
      <c r="J19" s="5"/>
      <c r="O19" s="5"/>
    </row>
    <row r="20" spans="1:15" ht="14.25" hidden="1">
      <c r="A20" s="24" t="s">
        <v>38</v>
      </c>
      <c r="B20" s="3">
        <v>60</v>
      </c>
      <c r="C20" s="5"/>
      <c r="D20" s="5"/>
      <c r="E20" s="5"/>
      <c r="F20" s="5"/>
      <c r="G20" s="5"/>
      <c r="H20" s="5"/>
      <c r="I20" s="5"/>
      <c r="J20" s="5"/>
      <c r="O20" s="5"/>
    </row>
    <row r="21" spans="1:15" ht="14.25" hidden="1">
      <c r="A21" s="1" t="s">
        <v>12</v>
      </c>
      <c r="B21" s="15">
        <f>MAX('Contribution schedule'!T3:T41)</f>
        <v>5770427.246805443</v>
      </c>
      <c r="C21" s="5"/>
      <c r="D21" s="5"/>
      <c r="E21" s="5"/>
      <c r="F21" s="5"/>
      <c r="G21" s="5"/>
      <c r="H21" s="5"/>
      <c r="I21" s="5"/>
      <c r="J21" s="5"/>
      <c r="O21" s="5"/>
    </row>
    <row r="22" spans="1:15" ht="14.25" hidden="1">
      <c r="A22" s="1" t="s">
        <v>13</v>
      </c>
      <c r="B22" s="4">
        <f>MAX('Contribution schedule'!AA3:AA53)</f>
        <v>449819.99999999994</v>
      </c>
      <c r="C22" s="5"/>
      <c r="D22" s="5"/>
      <c r="E22" s="5"/>
      <c r="F22" s="5"/>
      <c r="G22" s="5"/>
      <c r="H22" s="5"/>
      <c r="I22" s="5"/>
      <c r="J22" s="5"/>
      <c r="O22" s="5"/>
    </row>
    <row r="23" spans="1:15" ht="14.25" hidden="1">
      <c r="A23" s="1" t="s">
        <v>9</v>
      </c>
      <c r="B23" s="4">
        <f>IF(B10&lt;B7,1.61%*B10,1.61%*B7)</f>
        <v>241.5</v>
      </c>
      <c r="C23" s="5"/>
      <c r="D23" s="5"/>
      <c r="E23" s="5"/>
      <c r="F23" s="5"/>
      <c r="G23" s="5"/>
      <c r="H23" s="5"/>
      <c r="I23" s="5"/>
      <c r="J23" s="5"/>
      <c r="O23" s="5"/>
    </row>
    <row r="24" spans="1:15" ht="14.25" hidden="1">
      <c r="A24" s="6" t="s">
        <v>15</v>
      </c>
      <c r="B24" s="7"/>
      <c r="C24" s="5"/>
      <c r="D24" s="5"/>
      <c r="E24" s="5"/>
      <c r="F24" s="5"/>
      <c r="G24" s="5"/>
      <c r="H24" s="5"/>
      <c r="I24" s="5"/>
      <c r="J24" s="5"/>
      <c r="O24" s="5"/>
    </row>
    <row r="25" spans="1:15" ht="14.25">
      <c r="A25" s="5" t="s">
        <v>70</v>
      </c>
      <c r="B25" s="5"/>
      <c r="C25" s="5"/>
      <c r="D25" s="5"/>
      <c r="E25" s="5"/>
      <c r="F25" s="5"/>
      <c r="G25" s="5"/>
      <c r="H25" s="5"/>
      <c r="I25" s="5"/>
      <c r="J25" s="5"/>
      <c r="O25" s="5"/>
    </row>
    <row r="26" spans="1:15" ht="14.25">
      <c r="A26" s="5"/>
      <c r="B26" s="5"/>
      <c r="C26" s="5"/>
      <c r="D26" s="5"/>
      <c r="E26" s="5"/>
      <c r="F26" s="5"/>
      <c r="G26" s="5"/>
      <c r="H26" s="5"/>
      <c r="I26" s="5"/>
      <c r="J26" s="5"/>
      <c r="O26" s="5"/>
    </row>
    <row r="27" spans="1:15" ht="14.25">
      <c r="A27" s="5"/>
      <c r="B27" s="5"/>
      <c r="C27" s="5"/>
      <c r="D27" s="5"/>
      <c r="E27" s="5"/>
      <c r="F27" s="5"/>
      <c r="G27" s="5"/>
      <c r="H27" s="5"/>
      <c r="I27" s="5"/>
      <c r="J27" s="5"/>
      <c r="O27" s="5"/>
    </row>
    <row r="28" spans="1:10" ht="14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4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4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4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4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4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4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4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4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4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4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4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4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4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4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4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4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4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4:10" ht="14.25">
      <c r="D46" s="5"/>
      <c r="E46" s="5"/>
      <c r="F46" s="5"/>
      <c r="G46" s="5"/>
      <c r="H46" s="5"/>
      <c r="I46" s="5"/>
      <c r="J46" s="5"/>
    </row>
  </sheetData>
  <sheetProtection/>
  <mergeCells count="8">
    <mergeCell ref="E13:E14"/>
    <mergeCell ref="A1:E1"/>
    <mergeCell ref="C12:E12"/>
    <mergeCell ref="C4:E4"/>
    <mergeCell ref="C6:E6"/>
    <mergeCell ref="C8:E8"/>
    <mergeCell ref="C10:E10"/>
    <mergeCell ref="C11:E11"/>
  </mergeCells>
  <dataValidations count="3">
    <dataValidation type="list" allowBlank="1" showInputMessage="1" showErrorMessage="1" sqref="B16">
      <formula1>$B$13:$B$15</formula1>
    </dataValidation>
    <dataValidation type="list" allowBlank="1" showInputMessage="1" showErrorMessage="1" sqref="E2">
      <formula1>$Q$1:$Q$4</formula1>
    </dataValidation>
    <dataValidation type="list" allowBlank="1" showInputMessage="1" showErrorMessage="1" sqref="C6:E6">
      <formula1>$P$1:$P$2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3"/>
  <sheetViews>
    <sheetView zoomScale="115" zoomScaleNormal="115" zoomScalePageLayoutView="0" workbookViewId="0" topLeftCell="D1">
      <pane ySplit="2" topLeftCell="A3" activePane="bottomLeft" state="frozen"/>
      <selection pane="topLeft" activeCell="A1" sqref="A1"/>
      <selection pane="bottomLeft" activeCell="S3" sqref="S3"/>
    </sheetView>
  </sheetViews>
  <sheetFormatPr defaultColWidth="9.140625" defaultRowHeight="15"/>
  <cols>
    <col min="1" max="1" width="8.8515625" style="51" hidden="1" customWidth="1"/>
    <col min="2" max="2" width="8.8515625" style="0" hidden="1" customWidth="1"/>
    <col min="3" max="3" width="6.00390625" style="12" hidden="1" customWidth="1"/>
    <col min="4" max="4" width="14.28125" style="23" customWidth="1"/>
    <col min="5" max="5" width="10.7109375" style="9" bestFit="1" customWidth="1"/>
    <col min="6" max="7" width="10.7109375" style="9" hidden="1" customWidth="1"/>
    <col min="8" max="8" width="10.421875" style="0" bestFit="1" customWidth="1"/>
    <col min="9" max="9" width="10.57421875" style="0" bestFit="1" customWidth="1"/>
    <col min="10" max="10" width="9.28125" style="9" bestFit="1" customWidth="1"/>
    <col min="11" max="11" width="0" style="0" hidden="1" customWidth="1"/>
    <col min="12" max="12" width="20.140625" style="9" customWidth="1"/>
    <col min="13" max="13" width="10.28125" style="9" hidden="1" customWidth="1"/>
    <col min="14" max="14" width="17.57421875" style="9" customWidth="1"/>
    <col min="15" max="16" width="17.7109375" style="36" hidden="1" customWidth="1"/>
    <col min="17" max="17" width="17.7109375" style="45" hidden="1" customWidth="1"/>
    <col min="18" max="18" width="17.28125" style="45" hidden="1" customWidth="1"/>
    <col min="19" max="19" width="10.28125" style="0" bestFit="1" customWidth="1"/>
    <col min="20" max="20" width="14.8515625" style="0" customWidth="1"/>
    <col min="21" max="21" width="10.28125" style="67" hidden="1" customWidth="1"/>
    <col min="22" max="22" width="28.421875" style="68" hidden="1" customWidth="1"/>
    <col min="23" max="23" width="15.421875" style="69" hidden="1" customWidth="1"/>
    <col min="24" max="24" width="20.8515625" style="67" hidden="1" customWidth="1"/>
    <col min="25" max="25" width="21.28125" style="67" hidden="1" customWidth="1"/>
    <col min="26" max="27" width="9.28125" style="0" customWidth="1"/>
    <col min="28" max="28" width="16.00390625" style="0" bestFit="1" customWidth="1"/>
    <col min="29" max="30" width="0" style="0" hidden="1" customWidth="1"/>
    <col min="31" max="31" width="9.28125" style="9" hidden="1" customWidth="1"/>
    <col min="32" max="36" width="0" style="0" hidden="1" customWidth="1"/>
    <col min="37" max="37" width="12.28125" style="0" hidden="1" customWidth="1"/>
    <col min="38" max="38" width="14.00390625" style="0" bestFit="1" customWidth="1"/>
    <col min="39" max="39" width="10.8515625" style="0" bestFit="1" customWidth="1"/>
  </cols>
  <sheetData>
    <row r="1" spans="1:38" s="71" customFormat="1" ht="27">
      <c r="A1" s="70"/>
      <c r="C1" s="72"/>
      <c r="D1" s="73" t="s">
        <v>33</v>
      </c>
      <c r="E1" s="72"/>
      <c r="F1" s="72"/>
      <c r="G1" s="72"/>
      <c r="H1" s="132" t="s">
        <v>16</v>
      </c>
      <c r="I1" s="132"/>
      <c r="J1" s="132"/>
      <c r="L1" s="82" t="s">
        <v>52</v>
      </c>
      <c r="M1" s="75"/>
      <c r="N1" s="104" t="s">
        <v>53</v>
      </c>
      <c r="O1" s="76"/>
      <c r="P1" s="76"/>
      <c r="Q1" s="77"/>
      <c r="R1" s="77"/>
      <c r="S1" s="133" t="s">
        <v>40</v>
      </c>
      <c r="T1" s="134"/>
      <c r="U1" s="136" t="s">
        <v>39</v>
      </c>
      <c r="V1" s="136"/>
      <c r="W1" s="78" t="s">
        <v>25</v>
      </c>
      <c r="X1" s="79" t="s">
        <v>24</v>
      </c>
      <c r="Y1" s="80" t="s">
        <v>35</v>
      </c>
      <c r="Z1" s="135" t="s">
        <v>22</v>
      </c>
      <c r="AA1" s="135"/>
      <c r="AB1" s="81" t="s">
        <v>26</v>
      </c>
      <c r="AE1" s="74"/>
      <c r="AK1" s="137" t="s">
        <v>61</v>
      </c>
      <c r="AL1" s="137" t="s">
        <v>61</v>
      </c>
    </row>
    <row r="2" spans="2:39" ht="14.25">
      <c r="B2" s="28" t="s">
        <v>10</v>
      </c>
      <c r="C2" s="19" t="s">
        <v>10</v>
      </c>
      <c r="D2" s="19" t="s">
        <v>32</v>
      </c>
      <c r="E2" s="19" t="s">
        <v>11</v>
      </c>
      <c r="F2" s="30"/>
      <c r="G2" s="28"/>
      <c r="H2" s="103" t="s">
        <v>17</v>
      </c>
      <c r="I2" s="103" t="s">
        <v>18</v>
      </c>
      <c r="J2" s="103" t="s">
        <v>19</v>
      </c>
      <c r="L2" s="27"/>
      <c r="M2" s="27"/>
      <c r="N2" s="29"/>
      <c r="O2" s="34"/>
      <c r="P2" s="34"/>
      <c r="Q2" s="43"/>
      <c r="R2" s="43"/>
      <c r="S2" s="19" t="s">
        <v>20</v>
      </c>
      <c r="T2" s="19" t="s">
        <v>21</v>
      </c>
      <c r="U2" s="31" t="s">
        <v>20</v>
      </c>
      <c r="V2" s="31" t="s">
        <v>21</v>
      </c>
      <c r="W2" s="31" t="s">
        <v>31</v>
      </c>
      <c r="X2" s="25" t="s">
        <v>23</v>
      </c>
      <c r="Y2" s="26" t="s">
        <v>36</v>
      </c>
      <c r="Z2" s="16" t="s">
        <v>20</v>
      </c>
      <c r="AA2" s="16" t="s">
        <v>21</v>
      </c>
      <c r="AB2" s="11" t="s">
        <v>25</v>
      </c>
      <c r="AE2" s="27"/>
      <c r="AK2" s="137"/>
      <c r="AL2" s="137"/>
      <c r="AM2" s="98">
        <f>IRR(AL3:AL53)</f>
        <v>0.08065331599612889</v>
      </c>
    </row>
    <row r="3" spans="1:40" ht="14.25">
      <c r="A3" s="51">
        <f>IF(A2=123,123,IF(B3=Inputs!$B$3,123,""))</f>
        <v>123</v>
      </c>
      <c r="B3">
        <v>1</v>
      </c>
      <c r="C3" s="17">
        <f>Inputs!B2+1</f>
        <v>31</v>
      </c>
      <c r="D3" s="7">
        <f>Inputs!B2+1</f>
        <v>31</v>
      </c>
      <c r="E3" s="18">
        <f>Inputs!B10</f>
        <v>100000</v>
      </c>
      <c r="F3" s="18">
        <f>IF(C3&gt;=Inputs!$B$19,"",12*I3)</f>
        <v>129006</v>
      </c>
      <c r="G3" s="18">
        <f>IF(D3&gt;Inputs!$B$20,0,IF(E3&lt;Inputs!$B$7,(E3*Inputs!$B$9),IF(Inputs!$B$16=Inputs!$B$13,(E3*Inputs!$B$8)-(Inputs!$B$7*(Inputs!$B$8-Inputs!$B$9)),IF(Inputs!$B$16=Inputs!$B$14,(Inputs!$B$7*Inputs!$B$9),IF(Inputs!$B$16=Inputs!$B$15,(Inputs!$B$7*Inputs!$B$9),0)))))</f>
        <v>10750.5</v>
      </c>
      <c r="H3" s="18">
        <f>IF(D3&gt;Inputs!$B$20,0,IF(E3&lt;Inputs!$B$7,(E3*Inputs!$B$8),IF(Inputs!$B$16=Inputs!$B$13,(E3*Inputs!$B$8),IF(Inputs!$B$16=Inputs!$B$14,(E3*Inputs!$B$8),IF(Inputs!$B$16=Inputs!$B$15,(Inputs!$B$7*Inputs!$B$8),0)))))</f>
        <v>12000</v>
      </c>
      <c r="I3" s="18">
        <f>IF(G3&gt;=12500,12500,G3)</f>
        <v>10750.5</v>
      </c>
      <c r="J3" s="17">
        <f>IF(D3&gt;Inputs!$B$20,0,IF(E3&lt;Inputs!$B$7,(E3*Inputs!$B$8)+(E3*Inputs!$B$9),IF(Inputs!$B$16=Inputs!$B$13,(E3*Inputs!$B$8)+(E3*Inputs!$B$8)-(Inputs!$B$7*(Inputs!$B$8-Inputs!$B$9)),IF(Inputs!$B$16=Inputs!$B$14,(E3*Inputs!$B$8)+(Inputs!$B$7*Inputs!$B$9),IF(Inputs!$B$16=Inputs!$B$15,(Inputs!$B$7*Inputs!$B$8)+(Inputs!$B$7*Inputs!$B$9),0)))))</f>
        <v>22750.5</v>
      </c>
      <c r="L3" s="33">
        <f>IF(A3=123,IF(C3&gt;=Inputs!$B$19,"",L2+12*J3),0)</f>
        <v>273006</v>
      </c>
      <c r="M3" s="17"/>
      <c r="N3" s="33">
        <f>IF(A3=123,IF(C3&gt;=Inputs!$B$19,"",N2+(N2+12*J3+L2)*(Inputs!$B$11)),0)</f>
        <v>24024.528</v>
      </c>
      <c r="O3" s="35">
        <f>IF(A3=123,IF(C3&gt;=Inputs!$B$19,"",P2),0)</f>
        <v>0</v>
      </c>
      <c r="P3" s="35">
        <f>IF(A3=123,IF(C3&gt;=Inputs!$B$19,"",(P2+12*J3)*(1+Inputs!$B$11)),0)</f>
        <v>297030.52800000005</v>
      </c>
      <c r="Q3" s="44">
        <f>Inputs!B4+Inputs!B5</f>
        <v>500000</v>
      </c>
      <c r="R3" s="44">
        <f>(S3+12*J3)*(1+Inputs!$B$11)</f>
        <v>841030.528</v>
      </c>
      <c r="S3" s="17">
        <f>Inputs!B4+Inputs!B5</f>
        <v>500000</v>
      </c>
      <c r="T3" s="17">
        <f>(S3)*(1+Inputs!$B$11)</f>
        <v>544000</v>
      </c>
      <c r="U3" s="55">
        <f>Inputs!B5</f>
        <v>0</v>
      </c>
      <c r="V3" s="56">
        <f>(12*I3)*(1+Inputs!$B$11)</f>
        <v>140358.52800000002</v>
      </c>
      <c r="W3" s="55">
        <f>T3-V3</f>
        <v>403641.47199999995</v>
      </c>
      <c r="X3" s="57">
        <f>IF(E3&lt;Inputs!$B$7,Inputs!$B$10*(Inputs!$B$8-Inputs!$B$9),Inputs!$B$7*(Inputs!$B$8-Inputs!$B$9))</f>
        <v>1249.4999999999998</v>
      </c>
      <c r="Y3" s="58">
        <f>W3/T3</f>
        <v>0.7419879999999999</v>
      </c>
      <c r="Z3" s="17">
        <f>Inputs!B6</f>
        <v>0</v>
      </c>
      <c r="AA3" s="17">
        <f>Z3+12*X3</f>
        <v>14993.999999999996</v>
      </c>
      <c r="AB3" s="17">
        <f>12*IF(E3&lt;Inputs!$B$7,1.61%*E3,1.61%*Inputs!$B$7)</f>
        <v>2898</v>
      </c>
      <c r="AE3" s="17"/>
      <c r="AK3" s="22">
        <f>-J3*12-Q3</f>
        <v>-773006</v>
      </c>
      <c r="AL3" s="96">
        <f>-J3*12-Q3</f>
        <v>-773006</v>
      </c>
      <c r="AM3" s="22"/>
      <c r="AN3" s="50"/>
    </row>
    <row r="4" spans="1:39" ht="14.25">
      <c r="A4" s="51">
        <f>IF(A3=123,123,IF(B4=Inputs!$B$3,123,""))</f>
        <v>123</v>
      </c>
      <c r="B4" s="17">
        <f>IF(B3&gt;=Inputs!$B$19,"",B3+1)</f>
        <v>2</v>
      </c>
      <c r="C4" s="17">
        <f>IF(C3&gt;=Inputs!$B$19,"",C3+1)</f>
        <v>32</v>
      </c>
      <c r="D4" s="7">
        <f>IF(C3&gt;=Inputs!$B$19,NA(),D3+1)</f>
        <v>32</v>
      </c>
      <c r="E4" s="18">
        <f>IF(C3&gt;=Inputs!$B$19,"",E3*(1+Inputs!$B$18))</f>
        <v>103000</v>
      </c>
      <c r="F4" s="18">
        <f>IF(C4&gt;=Inputs!$B$19,"",12*I4)</f>
        <v>133326</v>
      </c>
      <c r="G4" s="18">
        <f>IF(D4&gt;Inputs!$B$20,0,IF(E4&lt;Inputs!$B$7,(E4*Inputs!$B$9),IF(Inputs!$B$16=Inputs!$B$13,(E4*Inputs!$B$8)-(Inputs!$B$7*(Inputs!$B$8-Inputs!$B$9)),IF(Inputs!$B$16=Inputs!$B$14,(Inputs!$B$7*Inputs!$B$9),IF(Inputs!$B$16=Inputs!$B$15,(Inputs!$B$7*Inputs!$B$9),0)))))</f>
        <v>11110.5</v>
      </c>
      <c r="H4" s="18">
        <f>IF(D4&gt;Inputs!$B$20,0,IF(E4&lt;Inputs!$B$7,(E4*Inputs!$B$8),IF(Inputs!$B$16=Inputs!$B$13,(E4*Inputs!$B$8),IF(Inputs!$B$16=Inputs!$B$14,(E4*Inputs!$B$8),IF(Inputs!$B$16=Inputs!$B$15,(Inputs!$B$7*Inputs!$B$8),0)))))</f>
        <v>12360</v>
      </c>
      <c r="I4" s="18">
        <f aca="true" t="shared" si="0" ref="I4:I53">IF(G4&gt;=12500,12500,G4)</f>
        <v>11110.5</v>
      </c>
      <c r="J4" s="17">
        <f>IF(D4&gt;Inputs!$B$20,0,IF(E4&lt;Inputs!$B$7,(E4*Inputs!$B$8)+(E4*Inputs!$B$9),IF(Inputs!$B$16=Inputs!$B$13,(E4*Inputs!$B$8)+(E4*Inputs!$B$8)-(Inputs!$B$7*(Inputs!$B$8-Inputs!$B$9)),IF(Inputs!$B$16=Inputs!$B$14,(E4*Inputs!$B$8)+(Inputs!$B$7*Inputs!$B$9),IF(Inputs!$B$16=Inputs!$B$15,(Inputs!$B$7*Inputs!$B$8)+(Inputs!$B$7*Inputs!$B$9),0)))))</f>
        <v>23470.5</v>
      </c>
      <c r="L4" s="33">
        <f>IF(A4=123,IF(C4&gt;=Inputs!$B$19,"",L3+12*J4),0)</f>
        <v>554652</v>
      </c>
      <c r="M4" s="17"/>
      <c r="N4" s="33">
        <f>IF(A4=123,IF(C4&gt;=Inputs!$B$19,"",N3+(N3+12*J4+L3)*(Inputs!$B$11)),0)</f>
        <v>74948.06246399999</v>
      </c>
      <c r="O4" s="35">
        <f>IF(A4=123,IF(C4&gt;=Inputs!$B$19,"",P3),0)</f>
        <v>297030.52800000005</v>
      </c>
      <c r="P4" s="35">
        <f>IF(A4=123,IF(C4&gt;=Inputs!$B$19,"",(P3+12*J4)*(1+Inputs!$B$11)),0)</f>
        <v>629600.0624640001</v>
      </c>
      <c r="Q4" s="44">
        <f>IF(C4&gt;=Inputs!$B$19,"",R3)</f>
        <v>841030.528</v>
      </c>
      <c r="R4" s="44">
        <f>IF(C4&gt;=Inputs!$B$19,"",(R3+12*J4)*(1+Inputs!$B$11))</f>
        <v>1221472.062464</v>
      </c>
      <c r="S4" s="17">
        <f>IF(C4&gt;=Inputs!$B$19,"",T3)</f>
        <v>544000</v>
      </c>
      <c r="T4" s="17">
        <f>IF(A4=123,IF(C4&gt;=Inputs!$B$19,"",(T3)*(1+Inputs!$B$11)),IF(C3&gt;=Inputs!$B$19,"",(T3+12*J4)*(1+Inputs!$B$11)))</f>
        <v>591872</v>
      </c>
      <c r="U4" s="55">
        <f>IF(C3&gt;=Inputs!$B$19,"",V3)</f>
        <v>140358.52800000002</v>
      </c>
      <c r="V4" s="56">
        <f>IF(C3&gt;=Inputs!$B$19,NA(),(V3+12*I4)*(1+Inputs!$B$11))</f>
        <v>297768.7664640001</v>
      </c>
      <c r="W4" s="55">
        <f>IF(C3&gt;=Inputs!$B$19,NA(),IF(D4&lt;57,T4-V4,IF(D4&lt;58,90%*T4,T4)))</f>
        <v>294103.2335359999</v>
      </c>
      <c r="X4" s="57">
        <f>IF(E4&lt;Inputs!$B$7,Inputs!$B$10*(Inputs!$B$8-Inputs!$B$9),Inputs!$B$7*(Inputs!$B$8-Inputs!$B$9))</f>
        <v>1249.4999999999998</v>
      </c>
      <c r="Y4" s="58">
        <f>IF(C3&gt;=Inputs!$B$19,NA(),W4/T4)</f>
        <v>0.4969034411764704</v>
      </c>
      <c r="Z4" s="17">
        <f>IF(C3&gt;=Inputs!$B$19,"",AA3)</f>
        <v>14993.999999999996</v>
      </c>
      <c r="AA4" s="17">
        <f>IF(C3&gt;=Inputs!$B$19,"",AA3+12*X4)</f>
        <v>29987.999999999993</v>
      </c>
      <c r="AB4" s="17">
        <f>IF(C3&gt;=Inputs!$B$19,"",12*IF(E4&lt;Inputs!$B$7,1.61%*E4,1.61%*Inputs!$B$7))</f>
        <v>2898</v>
      </c>
      <c r="AE4" s="17"/>
      <c r="AK4" s="22">
        <f aca="true" t="shared" si="1" ref="AK4:AK36">-J4*12</f>
        <v>-281646</v>
      </c>
      <c r="AL4" s="96">
        <f>IF(C3=58,'efective tax rates'!$K$7,IF(C3&lt;58,-12*J4,""))</f>
        <v>-281646</v>
      </c>
      <c r="AM4" s="22"/>
    </row>
    <row r="5" spans="1:38" ht="14.25">
      <c r="A5" s="51">
        <f>IF(A4=123,123,IF(B5=Inputs!$B$3,123,""))</f>
        <v>123</v>
      </c>
      <c r="B5" s="17">
        <f>IF(B4&gt;=Inputs!$B$19,"",B4+1)</f>
        <v>3</v>
      </c>
      <c r="C5" s="17">
        <f>IF(C4&gt;=Inputs!$B$19,"",C4+1)</f>
        <v>33</v>
      </c>
      <c r="D5" s="7">
        <f>IF(C4&gt;=Inputs!$B$19,NA(),D4+1)</f>
        <v>33</v>
      </c>
      <c r="E5" s="18">
        <f>IF(C4&gt;=Inputs!$B$19,"",E4*(1+Inputs!$B$18))</f>
        <v>106090</v>
      </c>
      <c r="F5" s="18">
        <f>IF(C5&gt;=Inputs!$B$19,"",12*I5)</f>
        <v>137775.59999999998</v>
      </c>
      <c r="G5" s="18">
        <f>IF(D5&gt;Inputs!$B$20,0,IF(E5&lt;Inputs!$B$7,(E5*Inputs!$B$9),IF(Inputs!$B$16=Inputs!$B$13,(E5*Inputs!$B$8)-(Inputs!$B$7*(Inputs!$B$8-Inputs!$B$9)),IF(Inputs!$B$16=Inputs!$B$14,(Inputs!$B$7*Inputs!$B$9),IF(Inputs!$B$16=Inputs!$B$15,(Inputs!$B$7*Inputs!$B$9),0)))))</f>
        <v>11481.3</v>
      </c>
      <c r="H5" s="18">
        <f>IF(D5&gt;Inputs!$B$20,0,IF(E5&lt;Inputs!$B$7,(E5*Inputs!$B$8),IF(Inputs!$B$16=Inputs!$B$13,(E5*Inputs!$B$8),IF(Inputs!$B$16=Inputs!$B$14,(E5*Inputs!$B$8),IF(Inputs!$B$16=Inputs!$B$15,(Inputs!$B$7*Inputs!$B$8),0)))))</f>
        <v>12730.8</v>
      </c>
      <c r="I5" s="18">
        <f t="shared" si="0"/>
        <v>11481.3</v>
      </c>
      <c r="J5" s="17">
        <f>IF(D5&gt;Inputs!$B$20,0,IF(E5&lt;Inputs!$B$7,(E5*Inputs!$B$8)+(E5*Inputs!$B$9),IF(Inputs!$B$16=Inputs!$B$13,(E5*Inputs!$B$8)+(E5*Inputs!$B$8)-(Inputs!$B$7*(Inputs!$B$8-Inputs!$B$9)),IF(Inputs!$B$16=Inputs!$B$14,(E5*Inputs!$B$8)+(Inputs!$B$7*Inputs!$B$9),IF(Inputs!$B$16=Inputs!$B$15,(Inputs!$B$7*Inputs!$B$8)+(Inputs!$B$7*Inputs!$B$9),0)))))</f>
        <v>24212.1</v>
      </c>
      <c r="L5" s="33">
        <f>IF(A5=123,IF(C5&gt;=Inputs!$B$19,"",L4+12*J5),0)</f>
        <v>845197.2</v>
      </c>
      <c r="M5" s="17"/>
      <c r="N5" s="33">
        <f>IF(A5=123,IF(C5&gt;=Inputs!$B$19,"",N4+(N4+12*J5+L4)*(Inputs!$B$11)),0)</f>
        <v>155920.84556083198</v>
      </c>
      <c r="O5" s="35">
        <f>IF(A5=123,IF(C5&gt;=Inputs!$B$19,"",P4),0)</f>
        <v>629600.0624640001</v>
      </c>
      <c r="P5" s="35">
        <f>IF(A5=123,IF(C5&gt;=Inputs!$B$19,"",(P4+12*J5)*(1+Inputs!$B$11)),0)</f>
        <v>1001118.0455608321</v>
      </c>
      <c r="Q5" s="44">
        <f>IF(C5&gt;=Inputs!$B$19,"",R4)</f>
        <v>1221472.062464</v>
      </c>
      <c r="R5" s="44">
        <f>IF(C5&gt;=Inputs!$B$19,"",(R4+12*J5)*(1+Inputs!$B$11))</f>
        <v>1645074.781560832</v>
      </c>
      <c r="S5" s="17">
        <f>IF(C5&gt;=Inputs!$B$19,"",T4)</f>
        <v>591872</v>
      </c>
      <c r="T5" s="17">
        <f>IF(A5=123,IF(C5&gt;=Inputs!$B$19,"",(T4)*(1+Inputs!$B$11)),IF(C4&gt;=Inputs!$B$19,"",(T4+12*J5)*(1+Inputs!$B$11)))</f>
        <v>643956.736</v>
      </c>
      <c r="U5" s="55">
        <f>IF(C4&gt;=Inputs!$B$19,"",V4)</f>
        <v>297768.7664640001</v>
      </c>
      <c r="V5" s="56">
        <f>IF(C4&gt;=Inputs!$B$19,NA(),(V4+12*I5)*(1+Inputs!$B$11))</f>
        <v>473872.2707128321</v>
      </c>
      <c r="W5" s="55">
        <f>IF(C4&gt;=Inputs!$B$19,NA(),IF(D5&lt;57,T5-V5,IF(D5&lt;58,90%*T5,T5)))</f>
        <v>170084.46528716793</v>
      </c>
      <c r="X5" s="57">
        <f>IF(E5&lt;Inputs!$B$7,Inputs!$B$10*(Inputs!$B$8-Inputs!$B$9),Inputs!$B$7*(Inputs!$B$8-Inputs!$B$9))</f>
        <v>1249.4999999999998</v>
      </c>
      <c r="Y5" s="58">
        <f>IF(C4&gt;=Inputs!$B$19,NA(),W5/T5)</f>
        <v>0.26412405644463655</v>
      </c>
      <c r="Z5" s="17">
        <f>IF(C4&gt;=Inputs!$B$19,"",AA4)</f>
        <v>29987.999999999993</v>
      </c>
      <c r="AA5" s="17">
        <f>IF(C4&gt;=Inputs!$B$19,"",AA4+12*X5)</f>
        <v>44981.999999999985</v>
      </c>
      <c r="AB5" s="17">
        <f>IF(C4&gt;=Inputs!$B$19,"",12*IF(E5&lt;Inputs!$B$7,1.61%*E5,1.61%*Inputs!$B$7))</f>
        <v>2898</v>
      </c>
      <c r="AE5" s="17"/>
      <c r="AK5" s="22">
        <f t="shared" si="1"/>
        <v>-290545.19999999995</v>
      </c>
      <c r="AL5" s="96">
        <f>IF(C4=58,'efective tax rates'!$K$7,IF(C4&lt;58,-12*J5,""))</f>
        <v>-290545.19999999995</v>
      </c>
    </row>
    <row r="6" spans="1:38" ht="14.25">
      <c r="A6" s="51">
        <f>IF(A5=123,123,IF(B6=Inputs!$B$3,123,""))</f>
        <v>123</v>
      </c>
      <c r="B6" s="17">
        <f>IF(B5&gt;=Inputs!$B$19,"",B5+1)</f>
        <v>4</v>
      </c>
      <c r="C6" s="17">
        <f>IF(C5&gt;=Inputs!$B$19,"",C5+1)</f>
        <v>34</v>
      </c>
      <c r="D6" s="7">
        <f>IF(C5&gt;=Inputs!$B$19,NA(),D5+1)</f>
        <v>34</v>
      </c>
      <c r="E6" s="18">
        <f>IF(C5&gt;=Inputs!$B$19,"",E5*(1+Inputs!$B$18))</f>
        <v>109272.7</v>
      </c>
      <c r="F6" s="18">
        <f>IF(C6&gt;=Inputs!$B$19,"",12*I6)</f>
        <v>142358.68799999997</v>
      </c>
      <c r="G6" s="18">
        <f>IF(D6&gt;Inputs!$B$20,0,IF(E6&lt;Inputs!$B$7,(E6*Inputs!$B$9),IF(Inputs!$B$16=Inputs!$B$13,(E6*Inputs!$B$8)-(Inputs!$B$7*(Inputs!$B$8-Inputs!$B$9)),IF(Inputs!$B$16=Inputs!$B$14,(Inputs!$B$7*Inputs!$B$9),IF(Inputs!$B$16=Inputs!$B$15,(Inputs!$B$7*Inputs!$B$9),0)))))</f>
        <v>11863.223999999998</v>
      </c>
      <c r="H6" s="18">
        <f>IF(D6&gt;Inputs!$B$20,0,IF(E6&lt;Inputs!$B$7,(E6*Inputs!$B$8),IF(Inputs!$B$16=Inputs!$B$13,(E6*Inputs!$B$8),IF(Inputs!$B$16=Inputs!$B$14,(E6*Inputs!$B$8),IF(Inputs!$B$16=Inputs!$B$15,(Inputs!$B$7*Inputs!$B$8),0)))))</f>
        <v>13112.723999999998</v>
      </c>
      <c r="I6" s="18">
        <f t="shared" si="0"/>
        <v>11863.223999999998</v>
      </c>
      <c r="J6" s="17">
        <f>IF(D6&gt;Inputs!$B$20,0,IF(E6&lt;Inputs!$B$7,(E6*Inputs!$B$8)+(E6*Inputs!$B$9),IF(Inputs!$B$16=Inputs!$B$13,(E6*Inputs!$B$8)+(E6*Inputs!$B$8)-(Inputs!$B$7*(Inputs!$B$8-Inputs!$B$9)),IF(Inputs!$B$16=Inputs!$B$14,(E6*Inputs!$B$8)+(Inputs!$B$7*Inputs!$B$9),IF(Inputs!$B$16=Inputs!$B$15,(Inputs!$B$7*Inputs!$B$8)+(Inputs!$B$7*Inputs!$B$9),0)))))</f>
        <v>24975.947999999997</v>
      </c>
      <c r="L6" s="33">
        <f>IF(A6=123,IF(C6&gt;=Inputs!$B$19,"",L5+12*J6),0)</f>
        <v>1144908.576</v>
      </c>
      <c r="M6" s="17"/>
      <c r="N6" s="33">
        <f>IF(A6=123,IF(C6&gt;=Inputs!$B$19,"",N5+(N5+12*J6+L5)*(Inputs!$B$11)),0)</f>
        <v>270393.8346581852</v>
      </c>
      <c r="O6" s="35">
        <f>IF(A6=123,IF(C6&gt;=Inputs!$B$19,"",P5),0)</f>
        <v>1001118.0455608321</v>
      </c>
      <c r="P6" s="35">
        <f>IF(A6=123,IF(C6&gt;=Inputs!$B$19,"",(P5+12*J6)*(1+Inputs!$B$11)),0)</f>
        <v>1415302.4106581854</v>
      </c>
      <c r="Q6" s="44">
        <f>IF(C6&gt;=Inputs!$B$19,"",R5)</f>
        <v>1645074.781560832</v>
      </c>
      <c r="R6" s="44">
        <f>IF(C6&gt;=Inputs!$B$19,"",(R5+12*J6)*(1+Inputs!$B$11))</f>
        <v>2115927.339426185</v>
      </c>
      <c r="S6" s="17">
        <f>IF(C6&gt;=Inputs!$B$19,"",T5)</f>
        <v>643956.736</v>
      </c>
      <c r="T6" s="17">
        <f>IF(A6=123,IF(C6&gt;=Inputs!$B$19,"",(T5)*(1+Inputs!$B$11)),IF(C5&gt;=Inputs!$B$19,"",(T5+12*J6)*(1+Inputs!$B$11)))</f>
        <v>700624.9287680001</v>
      </c>
      <c r="U6" s="55">
        <f>IF(C5&gt;=Inputs!$B$19,"",V5)</f>
        <v>473872.2707128321</v>
      </c>
      <c r="V6" s="56">
        <f>IF(C5&gt;=Inputs!$B$19,NA(),(V5+12*I6)*(1+Inputs!$B$11))</f>
        <v>670459.2830795613</v>
      </c>
      <c r="W6" s="55">
        <f>IF(C5&gt;=Inputs!$B$19,NA(),IF(D6&lt;57,T6-V6,IF(D6&lt;58,90%*T6,T6)))</f>
        <v>30165.645688438788</v>
      </c>
      <c r="X6" s="57">
        <f>IF(E6&lt;Inputs!$B$7,Inputs!$B$10*(Inputs!$B$8-Inputs!$B$9),Inputs!$B$7*(Inputs!$B$8-Inputs!$B$9))</f>
        <v>1249.4999999999998</v>
      </c>
      <c r="Y6" s="58">
        <f>IF(C5&gt;=Inputs!$B$19,NA(),W6/T6)</f>
        <v>0.04305534166687869</v>
      </c>
      <c r="Z6" s="17">
        <f>IF(C5&gt;=Inputs!$B$19,"",AA5)</f>
        <v>44981.999999999985</v>
      </c>
      <c r="AA6" s="17">
        <f>IF(C5&gt;=Inputs!$B$19,"",AA5+12*X6)</f>
        <v>59975.999999999985</v>
      </c>
      <c r="AB6" s="17">
        <f>IF(C5&gt;=Inputs!$B$19,"",12*IF(E6&lt;Inputs!$B$7,1.61%*E6,1.61%*Inputs!$B$7))</f>
        <v>2898</v>
      </c>
      <c r="AE6" s="17"/>
      <c r="AK6" s="22">
        <f t="shared" si="1"/>
        <v>-299711.37599999993</v>
      </c>
      <c r="AL6" s="96">
        <f>IF(C5=58,'efective tax rates'!$K$7,IF(C5&lt;58,-12*J6,""))</f>
        <v>-299711.37599999993</v>
      </c>
    </row>
    <row r="7" spans="1:38" ht="14.25">
      <c r="A7" s="51">
        <f>IF(A6=123,123,IF(B7=Inputs!$B$3,123,""))</f>
        <v>123</v>
      </c>
      <c r="B7" s="17">
        <f>IF(B6&gt;=Inputs!$B$19,"",B6+1)</f>
        <v>5</v>
      </c>
      <c r="C7" s="17">
        <f>IF(C6&gt;=Inputs!$B$19,"",C6+1)</f>
        <v>35</v>
      </c>
      <c r="D7" s="7">
        <f>IF(C6&gt;=Inputs!$B$19,NA(),D6+1)</f>
        <v>35</v>
      </c>
      <c r="E7" s="18">
        <f>IF(C6&gt;=Inputs!$B$19,"",E6*(1+Inputs!$B$18))</f>
        <v>112550.881</v>
      </c>
      <c r="F7" s="18">
        <f>IF(C7&gt;=Inputs!$B$19,"",12*I7)</f>
        <v>147079.26864</v>
      </c>
      <c r="G7" s="18">
        <f>IF(D7&gt;Inputs!$B$20,0,IF(E7&lt;Inputs!$B$7,(E7*Inputs!$B$9),IF(Inputs!$B$16=Inputs!$B$13,(E7*Inputs!$B$8)-(Inputs!$B$7*(Inputs!$B$8-Inputs!$B$9)),IF(Inputs!$B$16=Inputs!$B$14,(Inputs!$B$7*Inputs!$B$9),IF(Inputs!$B$16=Inputs!$B$15,(Inputs!$B$7*Inputs!$B$9),0)))))</f>
        <v>12256.60572</v>
      </c>
      <c r="H7" s="18">
        <f>IF(D7&gt;Inputs!$B$20,0,IF(E7&lt;Inputs!$B$7,(E7*Inputs!$B$8),IF(Inputs!$B$16=Inputs!$B$13,(E7*Inputs!$B$8),IF(Inputs!$B$16=Inputs!$B$14,(E7*Inputs!$B$8),IF(Inputs!$B$16=Inputs!$B$15,(Inputs!$B$7*Inputs!$B$8),0)))))</f>
        <v>13506.10572</v>
      </c>
      <c r="I7" s="18">
        <f t="shared" si="0"/>
        <v>12256.60572</v>
      </c>
      <c r="J7" s="17">
        <f>IF(D7&gt;Inputs!$B$20,0,IF(E7&lt;Inputs!$B$7,(E7*Inputs!$B$8)+(E7*Inputs!$B$9),IF(Inputs!$B$16=Inputs!$B$13,(E7*Inputs!$B$8)+(E7*Inputs!$B$8)-(Inputs!$B$7*(Inputs!$B$8-Inputs!$B$9)),IF(Inputs!$B$16=Inputs!$B$14,(E7*Inputs!$B$8)+(Inputs!$B$7*Inputs!$B$9),IF(Inputs!$B$16=Inputs!$B$15,(Inputs!$B$7*Inputs!$B$8)+(Inputs!$B$7*Inputs!$B$9),0)))))</f>
        <v>25762.71144</v>
      </c>
      <c r="L7" s="33">
        <f>IF(A7=123,IF(C7&gt;=Inputs!$B$19,"",L6+12*J7),0)</f>
        <v>1454061.11328</v>
      </c>
      <c r="M7" s="17"/>
      <c r="N7" s="33">
        <f>IF(A7=123,IF(C7&gt;=Inputs!$B$19,"",N6+(N6+12*J7+L6)*(Inputs!$B$11)),0)</f>
        <v>422145.8700767455</v>
      </c>
      <c r="O7" s="35">
        <f>IF(A7=123,IF(C7&gt;=Inputs!$B$19,"",P6),0)</f>
        <v>1415302.4106581854</v>
      </c>
      <c r="P7" s="35">
        <f>IF(A7=123,IF(C7&gt;=Inputs!$B$19,"",(P6+12*J7)*(1+Inputs!$B$11)),0)</f>
        <v>1876206.983356746</v>
      </c>
      <c r="Q7" s="44">
        <f>IF(C7&gt;=Inputs!$B$19,"",R6)</f>
        <v>2115927.339426185</v>
      </c>
      <c r="R7" s="44">
        <f>IF(C7&gt;=Inputs!$B$19,"",(R6+12*J7)*(1+Inputs!$B$11))</f>
        <v>2638486.9058563295</v>
      </c>
      <c r="S7" s="17">
        <f>IF(C7&gt;=Inputs!$B$19,"",T6)</f>
        <v>700624.9287680001</v>
      </c>
      <c r="T7" s="17">
        <f>IF(A7=123,IF(C7&gt;=Inputs!$B$19,"",(T6)*(1+Inputs!$B$11)),IF(C6&gt;=Inputs!$B$19,"",(T6+12*J7)*(1+Inputs!$B$11)))</f>
        <v>762279.9224995842</v>
      </c>
      <c r="U7" s="55">
        <f>IF(C6&gt;=Inputs!$B$19,"",V6)</f>
        <v>670459.2830795613</v>
      </c>
      <c r="V7" s="56">
        <f>IF(C6&gt;=Inputs!$B$19,NA(),(V6+12*I7)*(1+Inputs!$B$11))</f>
        <v>889481.9442708828</v>
      </c>
      <c r="W7" s="55">
        <f>IF(C6&gt;=Inputs!$B$19,NA(),IF(D7&lt;57,T7-V7,IF(D7&lt;58,90%*T7,T7)))</f>
        <v>-127202.0217712986</v>
      </c>
      <c r="X7" s="57">
        <f>IF(E7&lt;Inputs!$B$7,Inputs!$B$10*(Inputs!$B$8-Inputs!$B$9),Inputs!$B$7*(Inputs!$B$8-Inputs!$B$9))</f>
        <v>1249.4999999999998</v>
      </c>
      <c r="Y7" s="58">
        <f>IF(C6&gt;=Inputs!$B$19,NA(),W7/T7)</f>
        <v>-0.16687048683401207</v>
      </c>
      <c r="Z7" s="17">
        <f>IF(C6&gt;=Inputs!$B$19,"",AA6)</f>
        <v>59975.999999999985</v>
      </c>
      <c r="AA7" s="17">
        <f>IF(C6&gt;=Inputs!$B$19,"",AA6+12*X7)</f>
        <v>74969.99999999999</v>
      </c>
      <c r="AB7" s="17">
        <f>IF(C6&gt;=Inputs!$B$19,"",12*IF(E7&lt;Inputs!$B$7,1.61%*E7,1.61%*Inputs!$B$7))</f>
        <v>2898</v>
      </c>
      <c r="AE7" s="17"/>
      <c r="AK7" s="22">
        <f t="shared" si="1"/>
        <v>-309152.53728</v>
      </c>
      <c r="AL7" s="96">
        <f>IF(C6=58,'efective tax rates'!$K$7,IF(C6&lt;58,-12*J7,""))</f>
        <v>-309152.53728</v>
      </c>
    </row>
    <row r="8" spans="1:38" ht="14.25">
      <c r="A8" s="51">
        <f>IF(A7=123,123,IF(B8=Inputs!$B$3,123,""))</f>
        <v>123</v>
      </c>
      <c r="B8" s="17">
        <f>IF(B7&gt;=Inputs!$B$19,"",B7+1)</f>
        <v>6</v>
      </c>
      <c r="C8" s="17">
        <f>IF(C7&gt;=Inputs!$B$19,"",C7+1)</f>
        <v>36</v>
      </c>
      <c r="D8" s="7">
        <f>IF(C7&gt;=Inputs!$B$19,NA(),D7+1)</f>
        <v>36</v>
      </c>
      <c r="E8" s="18">
        <f>IF(C7&gt;=Inputs!$B$19,"",E7*(1+Inputs!$B$18))</f>
        <v>115927.40742999999</v>
      </c>
      <c r="F8" s="18">
        <f>IF(C8&gt;=Inputs!$B$19,"",12*I8)</f>
        <v>150000</v>
      </c>
      <c r="G8" s="18">
        <f>IF(D8&gt;Inputs!$B$20,0,IF(E8&lt;Inputs!$B$7,(E8*Inputs!$B$9),IF(Inputs!$B$16=Inputs!$B$13,(E8*Inputs!$B$8)-(Inputs!$B$7*(Inputs!$B$8-Inputs!$B$9)),IF(Inputs!$B$16=Inputs!$B$14,(Inputs!$B$7*Inputs!$B$9),IF(Inputs!$B$16=Inputs!$B$15,(Inputs!$B$7*Inputs!$B$9),0)))))</f>
        <v>12661.7888916</v>
      </c>
      <c r="H8" s="18">
        <f>IF(D8&gt;Inputs!$B$20,0,IF(E8&lt;Inputs!$B$7,(E8*Inputs!$B$8),IF(Inputs!$B$16=Inputs!$B$13,(E8*Inputs!$B$8),IF(Inputs!$B$16=Inputs!$B$14,(E8*Inputs!$B$8),IF(Inputs!$B$16=Inputs!$B$15,(Inputs!$B$7*Inputs!$B$8),0)))))</f>
        <v>13911.2888916</v>
      </c>
      <c r="I8" s="18">
        <f t="shared" si="0"/>
        <v>12500</v>
      </c>
      <c r="J8" s="17">
        <f>IF(D8&gt;Inputs!$B$20,0,IF(E8&lt;Inputs!$B$7,(E8*Inputs!$B$8)+(E8*Inputs!$B$9),IF(Inputs!$B$16=Inputs!$B$13,(E8*Inputs!$B$8)+(E8*Inputs!$B$8)-(Inputs!$B$7*(Inputs!$B$8-Inputs!$B$9)),IF(Inputs!$B$16=Inputs!$B$14,(E8*Inputs!$B$8)+(Inputs!$B$7*Inputs!$B$9),IF(Inputs!$B$16=Inputs!$B$15,(Inputs!$B$7*Inputs!$B$8)+(Inputs!$B$7*Inputs!$B$9),0)))))</f>
        <v>26573.0777832</v>
      </c>
      <c r="L8" s="33">
        <f>IF(A8=123,IF(C8&gt;=Inputs!$B$19,"",L7+12*J8),0)</f>
        <v>1772938.0466784</v>
      </c>
      <c r="M8" s="17"/>
      <c r="N8" s="33">
        <f>IF(A8=123,IF(C8&gt;=Inputs!$B$19,"",N7+(N7+12*J8+L7)*(Inputs!$B$11)),0)</f>
        <v>615313.2547511983</v>
      </c>
      <c r="O8" s="35">
        <f>IF(A8=123,IF(C8&gt;=Inputs!$B$19,"",P7),0)</f>
        <v>1876206.983356746</v>
      </c>
      <c r="P8" s="35">
        <f>IF(A8=123,IF(C8&gt;=Inputs!$B$19,"",(P7+12*J8)*(1+Inputs!$B$11)),0)</f>
        <v>2388251.301429599</v>
      </c>
      <c r="Q8" s="44">
        <f>IF(C8&gt;=Inputs!$B$19,"",R7)</f>
        <v>2638486.9058563295</v>
      </c>
      <c r="R8" s="44">
        <f>IF(C8&gt;=Inputs!$B$19,"",(R7+12*J8)*(1+Inputs!$B$11))</f>
        <v>3217611.8571091457</v>
      </c>
      <c r="S8" s="17">
        <f>IF(C8&gt;=Inputs!$B$19,"",T7)</f>
        <v>762279.9224995842</v>
      </c>
      <c r="T8" s="17">
        <f>IF(A8=123,IF(C8&gt;=Inputs!$B$19,"",(T7)*(1+Inputs!$B$11)),IF(C7&gt;=Inputs!$B$19,"",(T7+12*J8)*(1+Inputs!$B$11)))</f>
        <v>829360.5556795476</v>
      </c>
      <c r="U8" s="55">
        <f>IF(C7&gt;=Inputs!$B$19,"",V7)</f>
        <v>889481.9442708828</v>
      </c>
      <c r="V8" s="56">
        <f>IF(C7&gt;=Inputs!$B$19,NA(),(V7+12*I8)*(1+Inputs!$B$11))</f>
        <v>1130956.3553667206</v>
      </c>
      <c r="W8" s="55">
        <f>IF(C7&gt;=Inputs!$B$19,NA(),IF(D8&lt;57,T8-V8,IF(D8&lt;58,90%*T8,T8)))</f>
        <v>-301595.799687173</v>
      </c>
      <c r="X8" s="57">
        <f>IF(E8&lt;Inputs!$B$7,Inputs!$B$10*(Inputs!$B$8-Inputs!$B$9),Inputs!$B$7*(Inputs!$B$8-Inputs!$B$9))</f>
        <v>1249.4999999999998</v>
      </c>
      <c r="Y8" s="58">
        <f>IF(C7&gt;=Inputs!$B$19,NA(),W8/T8)</f>
        <v>-0.36364859363254437</v>
      </c>
      <c r="Z8" s="17">
        <f>IF(C7&gt;=Inputs!$B$19,"",AA7)</f>
        <v>74969.99999999999</v>
      </c>
      <c r="AA8" s="17">
        <f>IF(C7&gt;=Inputs!$B$19,"",AA7+12*X8)</f>
        <v>89963.99999999999</v>
      </c>
      <c r="AB8" s="17">
        <f>IF(C7&gt;=Inputs!$B$19,"",12*IF(E8&lt;Inputs!$B$7,1.61%*E8,1.61%*Inputs!$B$7))</f>
        <v>2898</v>
      </c>
      <c r="AE8" s="17"/>
      <c r="AK8" s="22">
        <f t="shared" si="1"/>
        <v>-318876.93339839997</v>
      </c>
      <c r="AL8" s="96">
        <f>IF(C7=58,'efective tax rates'!$K$7,IF(C7&lt;58,-12*J8,""))</f>
        <v>-318876.93339839997</v>
      </c>
    </row>
    <row r="9" spans="1:38" ht="14.25">
      <c r="A9" s="51">
        <f>IF(A8=123,123,IF(B9=Inputs!$B$3,123,""))</f>
        <v>123</v>
      </c>
      <c r="B9" s="17">
        <f>IF(B8&gt;=Inputs!$B$19,"",B8+1)</f>
        <v>7</v>
      </c>
      <c r="C9" s="17">
        <f>IF(C8&gt;=Inputs!$B$19,"",C8+1)</f>
        <v>37</v>
      </c>
      <c r="D9" s="7">
        <f>IF(C8&gt;=Inputs!$B$19,NA(),D8+1)</f>
        <v>37</v>
      </c>
      <c r="E9" s="18">
        <f>IF(C8&gt;=Inputs!$B$19,"",E8*(1+Inputs!$B$18))</f>
        <v>119405.2296529</v>
      </c>
      <c r="F9" s="18">
        <f>IF(C9&gt;=Inputs!$B$19,"",12*I9)</f>
        <v>150000</v>
      </c>
      <c r="G9" s="18">
        <f>IF(D9&gt;Inputs!$B$20,0,IF(E9&lt;Inputs!$B$7,(E9*Inputs!$B$9),IF(Inputs!$B$16=Inputs!$B$13,(E9*Inputs!$B$8)-(Inputs!$B$7*(Inputs!$B$8-Inputs!$B$9)),IF(Inputs!$B$16=Inputs!$B$14,(Inputs!$B$7*Inputs!$B$9),IF(Inputs!$B$16=Inputs!$B$15,(Inputs!$B$7*Inputs!$B$9),0)))))</f>
        <v>13079.127558348</v>
      </c>
      <c r="H9" s="18">
        <f>IF(D9&gt;Inputs!$B$20,0,IF(E9&lt;Inputs!$B$7,(E9*Inputs!$B$8),IF(Inputs!$B$16=Inputs!$B$13,(E9*Inputs!$B$8),IF(Inputs!$B$16=Inputs!$B$14,(E9*Inputs!$B$8),IF(Inputs!$B$16=Inputs!$B$15,(Inputs!$B$7*Inputs!$B$8),0)))))</f>
        <v>14328.627558348</v>
      </c>
      <c r="I9" s="18">
        <f t="shared" si="0"/>
        <v>12500</v>
      </c>
      <c r="J9" s="17">
        <f>IF(D9&gt;Inputs!$B$20,0,IF(E9&lt;Inputs!$B$7,(E9*Inputs!$B$8)+(E9*Inputs!$B$9),IF(Inputs!$B$16=Inputs!$B$13,(E9*Inputs!$B$8)+(E9*Inputs!$B$8)-(Inputs!$B$7*(Inputs!$B$8-Inputs!$B$9)),IF(Inputs!$B$16=Inputs!$B$14,(E9*Inputs!$B$8)+(Inputs!$B$7*Inputs!$B$9),IF(Inputs!$B$16=Inputs!$B$15,(Inputs!$B$7*Inputs!$B$8)+(Inputs!$B$7*Inputs!$B$9),0)))))</f>
        <v>27407.755116696</v>
      </c>
      <c r="L9" s="33">
        <f>IF(A9=123,IF(C9&gt;=Inputs!$B$19,"",L8+12*J9),0)</f>
        <v>2101831.1080787517</v>
      </c>
      <c r="M9" s="17"/>
      <c r="N9" s="33">
        <f>IF(A9=123,IF(C9&gt;=Inputs!$B$19,"",N8+(N8+12*J9+L8)*(Inputs!$B$11)),0)</f>
        <v>854421.9586802339</v>
      </c>
      <c r="O9" s="35">
        <f>IF(A9=123,IF(C9&gt;=Inputs!$B$19,"",P8),0)</f>
        <v>2388251.301429599</v>
      </c>
      <c r="P9" s="35">
        <f>IF(A9=123,IF(C9&gt;=Inputs!$B$19,"",(P8+12*J9)*(1+Inputs!$B$11)),0)</f>
        <v>2956253.066758987</v>
      </c>
      <c r="Q9" s="44">
        <f>IF(C9&gt;=Inputs!$B$19,"",R8)</f>
        <v>3217611.8571091457</v>
      </c>
      <c r="R9" s="44">
        <f>IF(C9&gt;=Inputs!$B$19,"",(R8+12*J9)*(1+Inputs!$B$11))</f>
        <v>3858597.351338334</v>
      </c>
      <c r="S9" s="17">
        <f>IF(C9&gt;=Inputs!$B$19,"",T8)</f>
        <v>829360.5556795476</v>
      </c>
      <c r="T9" s="17">
        <f>IF(A9=123,IF(C9&gt;=Inputs!$B$19,"",(T8)*(1+Inputs!$B$11)),IF(C8&gt;=Inputs!$B$19,"",(T8+12*J9)*(1+Inputs!$B$11)))</f>
        <v>902344.2845793478</v>
      </c>
      <c r="U9" s="55">
        <f>IF(C8&gt;=Inputs!$B$19,"",V8)</f>
        <v>1130956.3553667206</v>
      </c>
      <c r="V9" s="56">
        <f>IF(C8&gt;=Inputs!$B$19,NA(),(V8+12*I9)*(1+Inputs!$B$11))</f>
        <v>1393680.514638992</v>
      </c>
      <c r="W9" s="55">
        <f>IF(C8&gt;=Inputs!$B$19,NA(),IF(D9&lt;57,T9-V9,IF(D9&lt;58,90%*T9,T9)))</f>
        <v>-491336.2300596442</v>
      </c>
      <c r="X9" s="57">
        <f>IF(E9&lt;Inputs!$B$7,Inputs!$B$10*(Inputs!$B$8-Inputs!$B$9),Inputs!$B$7*(Inputs!$B$8-Inputs!$B$9))</f>
        <v>1249.4999999999998</v>
      </c>
      <c r="Y9" s="58">
        <f>IF(C8&gt;=Inputs!$B$19,NA(),W9/T9)</f>
        <v>-0.5445108241459011</v>
      </c>
      <c r="Z9" s="17">
        <f>IF(C8&gt;=Inputs!$B$19,"",AA8)</f>
        <v>89963.99999999999</v>
      </c>
      <c r="AA9" s="17">
        <f>IF(C8&gt;=Inputs!$B$19,"",AA8+12*X9)</f>
        <v>104957.99999999999</v>
      </c>
      <c r="AB9" s="17">
        <f>IF(C8&gt;=Inputs!$B$19,"",12*IF(E9&lt;Inputs!$B$7,1.61%*E9,1.61%*Inputs!$B$7))</f>
        <v>2898</v>
      </c>
      <c r="AE9" s="17"/>
      <c r="AK9" s="22">
        <f t="shared" si="1"/>
        <v>-328893.061400352</v>
      </c>
      <c r="AL9" s="96">
        <f>IF(C8=58,'efective tax rates'!$K$7,IF(C8&lt;58,-12*J9,""))</f>
        <v>-328893.061400352</v>
      </c>
    </row>
    <row r="10" spans="1:38" ht="14.25">
      <c r="A10" s="51">
        <f>IF(A9=123,123,IF(B10=Inputs!$B$3,123,""))</f>
        <v>123</v>
      </c>
      <c r="B10" s="17">
        <f>IF(B9&gt;=Inputs!$B$19,"",B9+1)</f>
        <v>8</v>
      </c>
      <c r="C10" s="17">
        <f>IF(C9&gt;=Inputs!$B$19,"",C9+1)</f>
        <v>38</v>
      </c>
      <c r="D10" s="7">
        <f>IF(C9&gt;=Inputs!$B$19,NA(),D9+1)</f>
        <v>38</v>
      </c>
      <c r="E10" s="18">
        <f>IF(C9&gt;=Inputs!$B$19,"",E9*(1+Inputs!$B$18))</f>
        <v>122987.386542487</v>
      </c>
      <c r="F10" s="18">
        <f>IF(C10&gt;=Inputs!$B$19,"",12*I10)</f>
        <v>150000</v>
      </c>
      <c r="G10" s="18">
        <f>IF(D10&gt;Inputs!$B$20,0,IF(E10&lt;Inputs!$B$7,(E10*Inputs!$B$9),IF(Inputs!$B$16=Inputs!$B$13,(E10*Inputs!$B$8)-(Inputs!$B$7*(Inputs!$B$8-Inputs!$B$9)),IF(Inputs!$B$16=Inputs!$B$14,(Inputs!$B$7*Inputs!$B$9),IF(Inputs!$B$16=Inputs!$B$15,(Inputs!$B$7*Inputs!$B$9),0)))))</f>
        <v>13508.98638509844</v>
      </c>
      <c r="H10" s="18">
        <f>IF(D10&gt;Inputs!$B$20,0,IF(E10&lt;Inputs!$B$7,(E10*Inputs!$B$8),IF(Inputs!$B$16=Inputs!$B$13,(E10*Inputs!$B$8),IF(Inputs!$B$16=Inputs!$B$14,(E10*Inputs!$B$8),IF(Inputs!$B$16=Inputs!$B$15,(Inputs!$B$7*Inputs!$B$8),0)))))</f>
        <v>14758.48638509844</v>
      </c>
      <c r="I10" s="18">
        <f t="shared" si="0"/>
        <v>12500</v>
      </c>
      <c r="J10" s="17">
        <f>IF(D10&gt;Inputs!$B$20,0,IF(E10&lt;Inputs!$B$7,(E10*Inputs!$B$8)+(E10*Inputs!$B$9),IF(Inputs!$B$16=Inputs!$B$13,(E10*Inputs!$B$8)+(E10*Inputs!$B$8)-(Inputs!$B$7*(Inputs!$B$8-Inputs!$B$9)),IF(Inputs!$B$16=Inputs!$B$14,(E10*Inputs!$B$8)+(Inputs!$B$7*Inputs!$B$9),IF(Inputs!$B$16=Inputs!$B$15,(Inputs!$B$7*Inputs!$B$8)+(Inputs!$B$7*Inputs!$B$9),0)))))</f>
        <v>28267.47277019688</v>
      </c>
      <c r="L10" s="33">
        <f>IF(A10=123,IF(C10&gt;=Inputs!$B$19,"",L9+12*J10),0)</f>
        <v>2441040.7813211144</v>
      </c>
      <c r="M10" s="17"/>
      <c r="N10" s="33">
        <f>IF(A10=123,IF(C10&gt;=Inputs!$B$19,"",N9+(N9+12*J10+L9)*(Inputs!$B$11)),0)</f>
        <v>1144422.6798003525</v>
      </c>
      <c r="O10" s="35">
        <f>IF(A10=123,IF(C10&gt;=Inputs!$B$19,"",P9),0)</f>
        <v>2956253.066758987</v>
      </c>
      <c r="P10" s="35">
        <f>IF(A10=123,IF(C10&gt;=Inputs!$B$19,"",(P9+12*J10)*(1+Inputs!$B$11)),0)</f>
        <v>3585463.461121469</v>
      </c>
      <c r="Q10" s="44">
        <f>IF(C10&gt;=Inputs!$B$19,"",R9)</f>
        <v>3858597.351338334</v>
      </c>
      <c r="R10" s="44">
        <f>IF(C10&gt;=Inputs!$B$19,"",(R9+12*J10)*(1+Inputs!$B$11))</f>
        <v>4567214.042743798</v>
      </c>
      <c r="S10" s="17">
        <f>IF(C10&gt;=Inputs!$B$19,"",T9)</f>
        <v>902344.2845793478</v>
      </c>
      <c r="T10" s="17">
        <f>IF(A10=123,IF(C10&gt;=Inputs!$B$19,"",(T9)*(1+Inputs!$B$11)),IF(C9&gt;=Inputs!$B$19,"",(T9+12*J10)*(1+Inputs!$B$11)))</f>
        <v>981750.5816223305</v>
      </c>
      <c r="U10" s="55">
        <f>IF(C9&gt;=Inputs!$B$19,"",V9)</f>
        <v>1393680.514638992</v>
      </c>
      <c r="V10" s="56">
        <f>IF(C9&gt;=Inputs!$B$19,NA(),(V9+12*I10)*(1+Inputs!$B$11))</f>
        <v>1679524.3999272233</v>
      </c>
      <c r="W10" s="55">
        <f>IF(C9&gt;=Inputs!$B$19,NA(),IF(D10&lt;57,T10-V10,IF(D10&lt;58,90%*T10,T10)))</f>
        <v>-697773.8183048929</v>
      </c>
      <c r="X10" s="57">
        <f>IF(E10&lt;Inputs!$B$7,Inputs!$B$10*(Inputs!$B$8-Inputs!$B$9),Inputs!$B$7*(Inputs!$B$8-Inputs!$B$9))</f>
        <v>1249.4999999999998</v>
      </c>
      <c r="Y10" s="58">
        <f>IF(C9&gt;=Inputs!$B$19,NA(),W10/T10)</f>
        <v>-0.7107444918971481</v>
      </c>
      <c r="Z10" s="17">
        <f>IF(C9&gt;=Inputs!$B$19,"",AA9)</f>
        <v>104957.99999999999</v>
      </c>
      <c r="AA10" s="17">
        <f>IF(C9&gt;=Inputs!$B$19,"",AA9+12*X10)</f>
        <v>119951.99999999999</v>
      </c>
      <c r="AB10" s="17">
        <f>IF(C9&gt;=Inputs!$B$19,"",12*IF(E10&lt;Inputs!$B$7,1.61%*E10,1.61%*Inputs!$B$7))</f>
        <v>2898</v>
      </c>
      <c r="AE10" s="17"/>
      <c r="AK10" s="22">
        <f t="shared" si="1"/>
        <v>-339209.67324236257</v>
      </c>
      <c r="AL10" s="96">
        <f>IF(C9=58,'efective tax rates'!$K$7,IF(C9&lt;58,-12*J10,""))</f>
        <v>-339209.67324236257</v>
      </c>
    </row>
    <row r="11" spans="1:38" ht="14.25">
      <c r="A11" s="51">
        <f>IF(A10=123,123,IF(B11=Inputs!$B$3,123,""))</f>
        <v>123</v>
      </c>
      <c r="B11" s="17">
        <f>IF(B10&gt;=Inputs!$B$19,"",B10+1)</f>
        <v>9</v>
      </c>
      <c r="C11" s="17">
        <f>IF(C10&gt;=Inputs!$B$19,"",C10+1)</f>
        <v>39</v>
      </c>
      <c r="D11" s="7">
        <f>IF(C10&gt;=Inputs!$B$19,NA(),D10+1)</f>
        <v>39</v>
      </c>
      <c r="E11" s="18">
        <f>IF(C10&gt;=Inputs!$B$19,"",E10*(1+Inputs!$B$18))</f>
        <v>126677.00813876161</v>
      </c>
      <c r="F11" s="18">
        <f>IF(C11&gt;=Inputs!$B$19,"",12*I11)</f>
        <v>150000</v>
      </c>
      <c r="G11" s="18">
        <f>IF(D11&gt;Inputs!$B$20,0,IF(E11&lt;Inputs!$B$7,(E11*Inputs!$B$9),IF(Inputs!$B$16=Inputs!$B$13,(E11*Inputs!$B$8)-(Inputs!$B$7*(Inputs!$B$8-Inputs!$B$9)),IF(Inputs!$B$16=Inputs!$B$14,(Inputs!$B$7*Inputs!$B$9),IF(Inputs!$B$16=Inputs!$B$15,(Inputs!$B$7*Inputs!$B$9),0)))))</f>
        <v>13951.740976651392</v>
      </c>
      <c r="H11" s="18">
        <f>IF(D11&gt;Inputs!$B$20,0,IF(E11&lt;Inputs!$B$7,(E11*Inputs!$B$8),IF(Inputs!$B$16=Inputs!$B$13,(E11*Inputs!$B$8),IF(Inputs!$B$16=Inputs!$B$14,(E11*Inputs!$B$8),IF(Inputs!$B$16=Inputs!$B$15,(Inputs!$B$7*Inputs!$B$8),0)))))</f>
        <v>15201.240976651392</v>
      </c>
      <c r="I11" s="18">
        <f t="shared" si="0"/>
        <v>12500</v>
      </c>
      <c r="J11" s="17">
        <f>IF(D11&gt;Inputs!$B$20,0,IF(E11&lt;Inputs!$B$7,(E11*Inputs!$B$8)+(E11*Inputs!$B$9),IF(Inputs!$B$16=Inputs!$B$13,(E11*Inputs!$B$8)+(E11*Inputs!$B$8)-(Inputs!$B$7*(Inputs!$B$8-Inputs!$B$9)),IF(Inputs!$B$16=Inputs!$B$14,(E11*Inputs!$B$8)+(Inputs!$B$7*Inputs!$B$9),IF(Inputs!$B$16=Inputs!$B$15,(Inputs!$B$7*Inputs!$B$8)+(Inputs!$B$7*Inputs!$B$9),0)))))</f>
        <v>29152.981953302784</v>
      </c>
      <c r="L11" s="33">
        <f>IF(A11=123,IF(C11&gt;=Inputs!$B$19,"",L10+12*J11),0)</f>
        <v>2790876.564760748</v>
      </c>
      <c r="M11" s="17"/>
      <c r="N11" s="33">
        <f>IF(A11=123,IF(C11&gt;=Inputs!$B$19,"",N10+(N10+12*J11+L10)*(Inputs!$B$11)),0)</f>
        <v>1490729.0133217294</v>
      </c>
      <c r="O11" s="35">
        <f>IF(A11=123,IF(C11&gt;=Inputs!$B$19,"",P10),0)</f>
        <v>3585463.461121469</v>
      </c>
      <c r="P11" s="35">
        <f>IF(A11=123,IF(C11&gt;=Inputs!$B$19,"",(P10+12*J11)*(1+Inputs!$B$11)),0)</f>
        <v>4281605.57808248</v>
      </c>
      <c r="Q11" s="44">
        <f>IF(C11&gt;=Inputs!$B$19,"",R10)</f>
        <v>4567214.042743798</v>
      </c>
      <c r="R11" s="44">
        <f>IF(C11&gt;=Inputs!$B$19,"",(R10+12*J11)*(1+Inputs!$B$11))</f>
        <v>5349750.210887575</v>
      </c>
      <c r="S11" s="17">
        <f>IF(C11&gt;=Inputs!$B$19,"",T10)</f>
        <v>981750.5816223305</v>
      </c>
      <c r="T11" s="17">
        <f>IF(A11=123,IF(C11&gt;=Inputs!$B$19,"",(T10)*(1+Inputs!$B$11)),IF(C10&gt;=Inputs!$B$19,"",(T10+12*J11)*(1+Inputs!$B$11)))</f>
        <v>1068144.6328050955</v>
      </c>
      <c r="U11" s="55">
        <f>IF(C10&gt;=Inputs!$B$19,"",V10)</f>
        <v>1679524.3999272233</v>
      </c>
      <c r="V11" s="56">
        <f>IF(C10&gt;=Inputs!$B$19,NA(),(V10+12*I11)*(1+Inputs!$B$11))</f>
        <v>1990522.547120819</v>
      </c>
      <c r="W11" s="55">
        <f>IF(C10&gt;=Inputs!$B$19,NA(),IF(D11&lt;57,T11-V11,IF(D11&lt;58,90%*T11,T11)))</f>
        <v>-922377.9143157236</v>
      </c>
      <c r="X11" s="57">
        <f>IF(E11&lt;Inputs!$B$7,Inputs!$B$10*(Inputs!$B$8-Inputs!$B$9),Inputs!$B$7*(Inputs!$B$8-Inputs!$B$9))</f>
        <v>1249.4999999999998</v>
      </c>
      <c r="Y11" s="58">
        <f>IF(C10&gt;=Inputs!$B$19,NA(),W11/T11)</f>
        <v>-0.8635327894626327</v>
      </c>
      <c r="Z11" s="17">
        <f>IF(C10&gt;=Inputs!$B$19,"",AA10)</f>
        <v>119951.99999999999</v>
      </c>
      <c r="AA11" s="17">
        <f>IF(C10&gt;=Inputs!$B$19,"",AA10+12*X11)</f>
        <v>134945.99999999997</v>
      </c>
      <c r="AB11" s="17">
        <f>IF(C10&gt;=Inputs!$B$19,"",12*IF(E11&lt;Inputs!$B$7,1.61%*E11,1.61%*Inputs!$B$7))</f>
        <v>2898</v>
      </c>
      <c r="AE11" s="17"/>
      <c r="AK11" s="22">
        <f t="shared" si="1"/>
        <v>-349835.78343963344</v>
      </c>
      <c r="AL11" s="96">
        <f>IF(C10=58,'efective tax rates'!$K$7,IF(C10&lt;58,-12*J11,""))</f>
        <v>-349835.78343963344</v>
      </c>
    </row>
    <row r="12" spans="1:38" ht="14.25">
      <c r="A12" s="51">
        <f>IF(A11=123,123,IF(B12=Inputs!$B$3,123,""))</f>
        <v>123</v>
      </c>
      <c r="B12" s="17">
        <f>IF(B11&gt;=Inputs!$B$19,"",B11+1)</f>
        <v>10</v>
      </c>
      <c r="C12" s="17">
        <f>IF(C11&gt;=Inputs!$B$19,"",C11+1)</f>
        <v>40</v>
      </c>
      <c r="D12" s="7">
        <f>IF(C11&gt;=Inputs!$B$19,NA(),D11+1)</f>
        <v>40</v>
      </c>
      <c r="E12" s="18">
        <f>IF(C11&gt;=Inputs!$B$19,"",E11*(1+Inputs!$B$18))</f>
        <v>130477.31838292447</v>
      </c>
      <c r="F12" s="18">
        <f>IF(C12&gt;=Inputs!$B$19,"",12*I12)</f>
        <v>150000</v>
      </c>
      <c r="G12" s="18">
        <f>IF(D12&gt;Inputs!$B$20,0,IF(E12&lt;Inputs!$B$7,(E12*Inputs!$B$9),IF(Inputs!$B$16=Inputs!$B$13,(E12*Inputs!$B$8)-(Inputs!$B$7*(Inputs!$B$8-Inputs!$B$9)),IF(Inputs!$B$16=Inputs!$B$14,(Inputs!$B$7*Inputs!$B$9),IF(Inputs!$B$16=Inputs!$B$15,(Inputs!$B$7*Inputs!$B$9),0)))))</f>
        <v>14407.778205950935</v>
      </c>
      <c r="H12" s="18">
        <f>IF(D12&gt;Inputs!$B$20,0,IF(E12&lt;Inputs!$B$7,(E12*Inputs!$B$8),IF(Inputs!$B$16=Inputs!$B$13,(E12*Inputs!$B$8),IF(Inputs!$B$16=Inputs!$B$14,(E12*Inputs!$B$8),IF(Inputs!$B$16=Inputs!$B$15,(Inputs!$B$7*Inputs!$B$8),0)))))</f>
        <v>15657.278205950935</v>
      </c>
      <c r="I12" s="18">
        <f t="shared" si="0"/>
        <v>12500</v>
      </c>
      <c r="J12" s="17">
        <f>IF(D12&gt;Inputs!$B$20,0,IF(E12&lt;Inputs!$B$7,(E12*Inputs!$B$8)+(E12*Inputs!$B$9),IF(Inputs!$B$16=Inputs!$B$13,(E12*Inputs!$B$8)+(E12*Inputs!$B$8)-(Inputs!$B$7*(Inputs!$B$8-Inputs!$B$9)),IF(Inputs!$B$16=Inputs!$B$14,(E12*Inputs!$B$8)+(Inputs!$B$7*Inputs!$B$9),IF(Inputs!$B$16=Inputs!$B$15,(Inputs!$B$7*Inputs!$B$8)+(Inputs!$B$7*Inputs!$B$9),0)))))</f>
        <v>30065.05641190187</v>
      </c>
      <c r="L12" s="33">
        <f>IF(A12=123,IF(C12&gt;=Inputs!$B$19,"",L11+12*J12),0)</f>
        <v>3151657.2417035704</v>
      </c>
      <c r="M12" s="17"/>
      <c r="N12" s="33">
        <f>IF(A12=123,IF(C12&gt;=Inputs!$B$19,"",N11+(N11+12*J12+L11)*(Inputs!$B$11)),0)</f>
        <v>1899259.0037639556</v>
      </c>
      <c r="O12" s="35">
        <f>IF(A12=123,IF(C12&gt;=Inputs!$B$19,"",P11),0)</f>
        <v>4281605.57808248</v>
      </c>
      <c r="P12" s="35">
        <f>IF(A12=123,IF(C12&gt;=Inputs!$B$19,"",(P11+12*J12)*(1+Inputs!$B$11)),0)</f>
        <v>5050916.245467529</v>
      </c>
      <c r="Q12" s="44">
        <f>IF(C12&gt;=Inputs!$B$19,"",R11)</f>
        <v>5349750.210887575</v>
      </c>
      <c r="R12" s="44">
        <f>IF(C12&gt;=Inputs!$B$19,"",(R11+12*J12)*(1+Inputs!$B$11))</f>
        <v>6213057.605959472</v>
      </c>
      <c r="S12" s="17">
        <f>IF(C12&gt;=Inputs!$B$19,"",T11)</f>
        <v>1068144.6328050955</v>
      </c>
      <c r="T12" s="17">
        <f>IF(A12=123,IF(C12&gt;=Inputs!$B$19,"",(T11)*(1+Inputs!$B$11)),IF(C11&gt;=Inputs!$B$19,"",(T11+12*J12)*(1+Inputs!$B$11)))</f>
        <v>1162141.360491944</v>
      </c>
      <c r="U12" s="55">
        <f>IF(C11&gt;=Inputs!$B$19,"",V11)</f>
        <v>1990522.547120819</v>
      </c>
      <c r="V12" s="56">
        <f>IF(C11&gt;=Inputs!$B$19,NA(),(V11+12*I12)*(1+Inputs!$B$11))</f>
        <v>2328888.531267451</v>
      </c>
      <c r="W12" s="55">
        <f>IF(C11&gt;=Inputs!$B$19,NA(),IF(D12&lt;57,T12-V12,IF(D12&lt;58,90%*T12,T12)))</f>
        <v>-1166747.170775507</v>
      </c>
      <c r="X12" s="57">
        <f>IF(E12&lt;Inputs!$B$7,Inputs!$B$10*(Inputs!$B$8-Inputs!$B$9),Inputs!$B$7*(Inputs!$B$8-Inputs!$B$9))</f>
        <v>1249.4999999999998</v>
      </c>
      <c r="Y12" s="58">
        <f>IF(C11&gt;=Inputs!$B$19,NA(),W12/T12)</f>
        <v>-1.0039632100191438</v>
      </c>
      <c r="Z12" s="17">
        <f>IF(C11&gt;=Inputs!$B$19,"",AA11)</f>
        <v>134945.99999999997</v>
      </c>
      <c r="AA12" s="17">
        <f>IF(C11&gt;=Inputs!$B$19,"",AA11+12*X12)</f>
        <v>149939.99999999997</v>
      </c>
      <c r="AB12" s="17">
        <f>IF(C11&gt;=Inputs!$B$19,"",12*IF(E12&lt;Inputs!$B$7,1.61%*E12,1.61%*Inputs!$B$7))</f>
        <v>2898</v>
      </c>
      <c r="AE12" s="17"/>
      <c r="AK12" s="22">
        <f t="shared" si="1"/>
        <v>-360780.67694282247</v>
      </c>
      <c r="AL12" s="96">
        <f>IF(C11=58,'efective tax rates'!$K$7,IF(C11&lt;58,-12*J12,""))</f>
        <v>-360780.67694282247</v>
      </c>
    </row>
    <row r="13" spans="1:38" ht="14.25">
      <c r="A13" s="51">
        <f>IF(A12=123,123,IF(B13=Inputs!$B$3,123,""))</f>
        <v>123</v>
      </c>
      <c r="B13" s="17">
        <f>IF(B12&gt;=Inputs!$B$19,"",B12+1)</f>
        <v>11</v>
      </c>
      <c r="C13" s="17">
        <f>IF(C12&gt;=Inputs!$B$19,"",C12+1)</f>
        <v>41</v>
      </c>
      <c r="D13" s="7">
        <f>IF(C12&gt;=Inputs!$B$19,NA(),D12+1)</f>
        <v>41</v>
      </c>
      <c r="E13" s="18">
        <f>IF(C12&gt;=Inputs!$B$19,"",E12*(1+Inputs!$B$18))</f>
        <v>134391.6379344122</v>
      </c>
      <c r="F13" s="18">
        <f>IF(C13&gt;=Inputs!$B$19,"",12*I13)</f>
        <v>150000</v>
      </c>
      <c r="G13" s="18">
        <f>IF(D13&gt;Inputs!$B$20,0,IF(E13&lt;Inputs!$B$7,(E13*Inputs!$B$9),IF(Inputs!$B$16=Inputs!$B$13,(E13*Inputs!$B$8)-(Inputs!$B$7*(Inputs!$B$8-Inputs!$B$9)),IF(Inputs!$B$16=Inputs!$B$14,(Inputs!$B$7*Inputs!$B$9),IF(Inputs!$B$16=Inputs!$B$15,(Inputs!$B$7*Inputs!$B$9),0)))))</f>
        <v>14877.496552129463</v>
      </c>
      <c r="H13" s="18">
        <f>IF(D13&gt;Inputs!$B$20,0,IF(E13&lt;Inputs!$B$7,(E13*Inputs!$B$8),IF(Inputs!$B$16=Inputs!$B$13,(E13*Inputs!$B$8),IF(Inputs!$B$16=Inputs!$B$14,(E13*Inputs!$B$8),IF(Inputs!$B$16=Inputs!$B$15,(Inputs!$B$7*Inputs!$B$8),0)))))</f>
        <v>16126.996552129463</v>
      </c>
      <c r="I13" s="18">
        <f t="shared" si="0"/>
        <v>12500</v>
      </c>
      <c r="J13" s="17">
        <f>IF(D13&gt;Inputs!$B$20,0,IF(E13&lt;Inputs!$B$7,(E13*Inputs!$B$8)+(E13*Inputs!$B$9),IF(Inputs!$B$16=Inputs!$B$13,(E13*Inputs!$B$8)+(E13*Inputs!$B$8)-(Inputs!$B$7*(Inputs!$B$8-Inputs!$B$9)),IF(Inputs!$B$16=Inputs!$B$14,(E13*Inputs!$B$8)+(Inputs!$B$7*Inputs!$B$9),IF(Inputs!$B$16=Inputs!$B$15,(Inputs!$B$7*Inputs!$B$8)+(Inputs!$B$7*Inputs!$B$9),0)))))</f>
        <v>31004.493104258927</v>
      </c>
      <c r="L13" s="33">
        <f>IF(A13=123,IF(C13&gt;=Inputs!$B$19,"",L12+12*J13),0)</f>
        <v>3523711.1589546776</v>
      </c>
      <c r="M13" s="17"/>
      <c r="N13" s="33">
        <f>IF(A13=123,IF(C13&gt;=Inputs!$B$19,"",N12+(N12+12*J13+L12)*(Inputs!$B$11)),0)</f>
        <v>2376480.378083195</v>
      </c>
      <c r="O13" s="35">
        <f>IF(A13=123,IF(C13&gt;=Inputs!$B$19,"",P12),0)</f>
        <v>5050916.245467529</v>
      </c>
      <c r="P13" s="35">
        <f>IF(A13=123,IF(C13&gt;=Inputs!$B$19,"",(P12+12*J13)*(1+Inputs!$B$11)),0)</f>
        <v>5900191.537037876</v>
      </c>
      <c r="Q13" s="44">
        <f>IF(C13&gt;=Inputs!$B$19,"",R12)</f>
        <v>6213057.605959472</v>
      </c>
      <c r="R13" s="44">
        <f>IF(C13&gt;=Inputs!$B$19,"",(R12+12*J13)*(1+Inputs!$B$11))</f>
        <v>7164601.337253111</v>
      </c>
      <c r="S13" s="17">
        <f>IF(C13&gt;=Inputs!$B$19,"",T12)</f>
        <v>1162141.360491944</v>
      </c>
      <c r="T13" s="17">
        <f>IF(A13=123,IF(C13&gt;=Inputs!$B$19,"",(T12)*(1+Inputs!$B$11)),IF(C12&gt;=Inputs!$B$19,"",(T12+12*J13)*(1+Inputs!$B$11)))</f>
        <v>1264409.8002152352</v>
      </c>
      <c r="U13" s="55">
        <f>IF(C12&gt;=Inputs!$B$19,"",V12)</f>
        <v>2328888.531267451</v>
      </c>
      <c r="V13" s="56">
        <f>IF(C12&gt;=Inputs!$B$19,NA(),(V12+12*I13)*(1+Inputs!$B$11))</f>
        <v>2697030.722018987</v>
      </c>
      <c r="W13" s="55">
        <f>IF(C12&gt;=Inputs!$B$19,NA(),IF(D13&lt;57,T13-V13,IF(D13&lt;58,90%*T13,T13)))</f>
        <v>-1432620.9218037517</v>
      </c>
      <c r="X13" s="57">
        <f>IF(E13&lt;Inputs!$B$7,Inputs!$B$10*(Inputs!$B$8-Inputs!$B$9),Inputs!$B$7*(Inputs!$B$8-Inputs!$B$9))</f>
        <v>1249.4999999999998</v>
      </c>
      <c r="Y13" s="58">
        <f>IF(C12&gt;=Inputs!$B$19,NA(),W13/T13)</f>
        <v>-1.1330352877365255</v>
      </c>
      <c r="Z13" s="17">
        <f>IF(C12&gt;=Inputs!$B$19,"",AA12)</f>
        <v>149939.99999999997</v>
      </c>
      <c r="AA13" s="17">
        <f>IF(C12&gt;=Inputs!$B$19,"",AA12+12*X13)</f>
        <v>164933.99999999997</v>
      </c>
      <c r="AB13" s="17">
        <f>IF(C12&gt;=Inputs!$B$19,"",12*IF(E13&lt;Inputs!$B$7,1.61%*E13,1.61%*Inputs!$B$7))</f>
        <v>2898</v>
      </c>
      <c r="AE13" s="17"/>
      <c r="AK13" s="22">
        <f t="shared" si="1"/>
        <v>-372053.9172511071</v>
      </c>
      <c r="AL13" s="96">
        <f>IF(C12=58,'efective tax rates'!$K$7,IF(C12&lt;58,-12*J13,""))</f>
        <v>-372053.9172511071</v>
      </c>
    </row>
    <row r="14" spans="1:38" ht="14.25">
      <c r="A14" s="51">
        <f>IF(A13=123,123,IF(B14=Inputs!$B$3,123,""))</f>
        <v>123</v>
      </c>
      <c r="B14" s="17">
        <f>IF(B13&gt;=Inputs!$B$19,"",B13+1)</f>
        <v>12</v>
      </c>
      <c r="C14" s="17">
        <f>IF(C13&gt;=Inputs!$B$19,"",C13+1)</f>
        <v>42</v>
      </c>
      <c r="D14" s="7">
        <f>IF(C13&gt;=Inputs!$B$19,NA(),D13+1)</f>
        <v>42</v>
      </c>
      <c r="E14" s="18">
        <f>IF(C13&gt;=Inputs!$B$19,"",E13*(1+Inputs!$B$18))</f>
        <v>138423.38707244457</v>
      </c>
      <c r="F14" s="18">
        <f>IF(C14&gt;=Inputs!$B$19,"",12*I14)</f>
        <v>150000</v>
      </c>
      <c r="G14" s="18">
        <f>IF(D14&gt;Inputs!$B$20,0,IF(E14&lt;Inputs!$B$7,(E14*Inputs!$B$9),IF(Inputs!$B$16=Inputs!$B$13,(E14*Inputs!$B$8)-(Inputs!$B$7*(Inputs!$B$8-Inputs!$B$9)),IF(Inputs!$B$16=Inputs!$B$14,(Inputs!$B$7*Inputs!$B$9),IF(Inputs!$B$16=Inputs!$B$15,(Inputs!$B$7*Inputs!$B$9),0)))))</f>
        <v>15361.306448693347</v>
      </c>
      <c r="H14" s="18">
        <f>IF(D14&gt;Inputs!$B$20,0,IF(E14&lt;Inputs!$B$7,(E14*Inputs!$B$8),IF(Inputs!$B$16=Inputs!$B$13,(E14*Inputs!$B$8),IF(Inputs!$B$16=Inputs!$B$14,(E14*Inputs!$B$8),IF(Inputs!$B$16=Inputs!$B$15,(Inputs!$B$7*Inputs!$B$8),0)))))</f>
        <v>16610.806448693347</v>
      </c>
      <c r="I14" s="18">
        <f t="shared" si="0"/>
        <v>12500</v>
      </c>
      <c r="J14" s="17">
        <f>IF(D14&gt;Inputs!$B$20,0,IF(E14&lt;Inputs!$B$7,(E14*Inputs!$B$8)+(E14*Inputs!$B$9),IF(Inputs!$B$16=Inputs!$B$13,(E14*Inputs!$B$8)+(E14*Inputs!$B$8)-(Inputs!$B$7*(Inputs!$B$8-Inputs!$B$9)),IF(Inputs!$B$16=Inputs!$B$14,(E14*Inputs!$B$8)+(Inputs!$B$7*Inputs!$B$9),IF(Inputs!$B$16=Inputs!$B$15,(Inputs!$B$7*Inputs!$B$8)+(Inputs!$B$7*Inputs!$B$9),0)))))</f>
        <v>31972.112897386694</v>
      </c>
      <c r="L14" s="33">
        <f>IF(A14=123,IF(C14&gt;=Inputs!$B$19,"",L13+12*J14),0)</f>
        <v>3907376.513723318</v>
      </c>
      <c r="M14" s="17"/>
      <c r="N14" s="33">
        <f>IF(A14=123,IF(C14&gt;=Inputs!$B$19,"",N13+(N13+12*J14+L13)*(Inputs!$B$11)),0)</f>
        <v>2929459.784562168</v>
      </c>
      <c r="O14" s="35">
        <f>IF(A14=123,IF(C14&gt;=Inputs!$B$19,"",P13),0)</f>
        <v>5900191.537037876</v>
      </c>
      <c r="P14" s="35">
        <f>IF(A14=123,IF(C14&gt;=Inputs!$B$19,"",(P13+12*J14)*(1+Inputs!$B$11)),0)</f>
        <v>6836836.298285491</v>
      </c>
      <c r="Q14" s="44">
        <f>IF(C14&gt;=Inputs!$B$19,"",R13)</f>
        <v>7164601.337253111</v>
      </c>
      <c r="R14" s="44">
        <f>IF(C14&gt;=Inputs!$B$19,"",(R13+12*J14)*(1+Inputs!$B$11))</f>
        <v>8212514.160919666</v>
      </c>
      <c r="S14" s="17">
        <f>IF(C14&gt;=Inputs!$B$19,"",T13)</f>
        <v>1264409.8002152352</v>
      </c>
      <c r="T14" s="17">
        <f>IF(A14=123,IF(C14&gt;=Inputs!$B$19,"",(T13)*(1+Inputs!$B$11)),IF(C13&gt;=Inputs!$B$19,"",(T13+12*J14)*(1+Inputs!$B$11)))</f>
        <v>1375677.862634176</v>
      </c>
      <c r="U14" s="55">
        <f>IF(C13&gt;=Inputs!$B$19,"",V13)</f>
        <v>2697030.722018987</v>
      </c>
      <c r="V14" s="56">
        <f>IF(C13&gt;=Inputs!$B$19,NA(),(V13+12*I14)*(1+Inputs!$B$11))</f>
        <v>3097569.425556658</v>
      </c>
      <c r="W14" s="55">
        <f>IF(C13&gt;=Inputs!$B$19,NA(),IF(D14&lt;57,T14-V14,IF(D14&lt;58,90%*T14,T14)))</f>
        <v>-1721891.562922482</v>
      </c>
      <c r="X14" s="57">
        <f>IF(E14&lt;Inputs!$B$7,Inputs!$B$10*(Inputs!$B$8-Inputs!$B$9),Inputs!$B$7*(Inputs!$B$8-Inputs!$B$9))</f>
        <v>1249.4999999999998</v>
      </c>
      <c r="Y14" s="58">
        <f>IF(C13&gt;=Inputs!$B$19,NA(),W14/T14)</f>
        <v>-1.251667712109119</v>
      </c>
      <c r="Z14" s="17">
        <f>IF(C13&gt;=Inputs!$B$19,"",AA13)</f>
        <v>164933.99999999997</v>
      </c>
      <c r="AA14" s="17">
        <f>IF(C13&gt;=Inputs!$B$19,"",AA13+12*X14)</f>
        <v>179927.99999999997</v>
      </c>
      <c r="AB14" s="17">
        <f>IF(C13&gt;=Inputs!$B$19,"",12*IF(E14&lt;Inputs!$B$7,1.61%*E14,1.61%*Inputs!$B$7))</f>
        <v>2898</v>
      </c>
      <c r="AE14" s="17"/>
      <c r="AK14" s="22">
        <f t="shared" si="1"/>
        <v>-383665.35476864036</v>
      </c>
      <c r="AL14" s="96">
        <f>IF(C13=58,'efective tax rates'!$K$7,IF(C13&lt;58,-12*J14,""))</f>
        <v>-383665.35476864036</v>
      </c>
    </row>
    <row r="15" spans="1:38" ht="14.25">
      <c r="A15" s="51">
        <f>IF(A14=123,123,IF(B15=Inputs!$B$3,123,""))</f>
        <v>123</v>
      </c>
      <c r="B15" s="17">
        <f>IF(B14&gt;=Inputs!$B$19,"",B14+1)</f>
        <v>13</v>
      </c>
      <c r="C15" s="17">
        <f>IF(C14&gt;=Inputs!$B$19,"",C14+1)</f>
        <v>43</v>
      </c>
      <c r="D15" s="7">
        <f>IF(C14&gt;=Inputs!$B$19,NA(),D14+1)</f>
        <v>43</v>
      </c>
      <c r="E15" s="18">
        <f>IF(C14&gt;=Inputs!$B$19,"",E14*(1+Inputs!$B$18))</f>
        <v>142576.08868461792</v>
      </c>
      <c r="F15" s="18">
        <f>IF(C15&gt;=Inputs!$B$19,"",12*I15)</f>
        <v>150000</v>
      </c>
      <c r="G15" s="18">
        <f>IF(D15&gt;Inputs!$B$20,0,IF(E15&lt;Inputs!$B$7,(E15*Inputs!$B$9),IF(Inputs!$B$16=Inputs!$B$13,(E15*Inputs!$B$8)-(Inputs!$B$7*(Inputs!$B$8-Inputs!$B$9)),IF(Inputs!$B$16=Inputs!$B$14,(Inputs!$B$7*Inputs!$B$9),IF(Inputs!$B$16=Inputs!$B$15,(Inputs!$B$7*Inputs!$B$9),0)))))</f>
        <v>15859.630642154149</v>
      </c>
      <c r="H15" s="18">
        <f>IF(D15&gt;Inputs!$B$20,0,IF(E15&lt;Inputs!$B$7,(E15*Inputs!$B$8),IF(Inputs!$B$16=Inputs!$B$13,(E15*Inputs!$B$8),IF(Inputs!$B$16=Inputs!$B$14,(E15*Inputs!$B$8),IF(Inputs!$B$16=Inputs!$B$15,(Inputs!$B$7*Inputs!$B$8),0)))))</f>
        <v>17109.13064215415</v>
      </c>
      <c r="I15" s="18">
        <f t="shared" si="0"/>
        <v>12500</v>
      </c>
      <c r="J15" s="17">
        <f>IF(D15&gt;Inputs!$B$20,0,IF(E15&lt;Inputs!$B$7,(E15*Inputs!$B$8)+(E15*Inputs!$B$9),IF(Inputs!$B$16=Inputs!$B$13,(E15*Inputs!$B$8)+(E15*Inputs!$B$8)-(Inputs!$B$7*(Inputs!$B$8-Inputs!$B$9)),IF(Inputs!$B$16=Inputs!$B$14,(E15*Inputs!$B$8)+(Inputs!$B$7*Inputs!$B$9),IF(Inputs!$B$16=Inputs!$B$15,(Inputs!$B$7*Inputs!$B$8)+(Inputs!$B$7*Inputs!$B$9),0)))))</f>
        <v>32968.7612843083</v>
      </c>
      <c r="L15" s="33">
        <f>IF(A15=123,IF(C15&gt;=Inputs!$B$19,"",L14+12*J15),0)</f>
        <v>4303001.649135018</v>
      </c>
      <c r="M15" s="17"/>
      <c r="N15" s="33">
        <f>IF(A15=123,IF(C15&gt;=Inputs!$B$19,"",N14+(N14+12*J15+L14)*(Inputs!$B$11)),0)</f>
        <v>3565916.3907275205</v>
      </c>
      <c r="O15" s="35">
        <f>IF(A15=123,IF(C15&gt;=Inputs!$B$19,"",P14),0)</f>
        <v>6836836.298285491</v>
      </c>
      <c r="P15" s="35">
        <f>IF(A15=123,IF(C15&gt;=Inputs!$B$19,"",(P14+12*J15)*(1+Inputs!$B$11)),0)</f>
        <v>7868918.039862543</v>
      </c>
      <c r="Q15" s="44">
        <f>IF(C15&gt;=Inputs!$B$19,"",R14)</f>
        <v>8212514.160919666</v>
      </c>
      <c r="R15" s="44">
        <f>IF(C15&gt;=Inputs!$B$19,"",(R14+12*J15)*(1+Inputs!$B$11))</f>
        <v>9365655.554408528</v>
      </c>
      <c r="S15" s="17">
        <f>IF(C15&gt;=Inputs!$B$19,"",T14)</f>
        <v>1375677.862634176</v>
      </c>
      <c r="T15" s="17">
        <f>IF(A15=123,IF(C15&gt;=Inputs!$B$19,"",(T14)*(1+Inputs!$B$11)),IF(C14&gt;=Inputs!$B$19,"",(T14+12*J15)*(1+Inputs!$B$11)))</f>
        <v>1496737.5145459834</v>
      </c>
      <c r="U15" s="55">
        <f>IF(C14&gt;=Inputs!$B$19,"",V14)</f>
        <v>3097569.425556658</v>
      </c>
      <c r="V15" s="56">
        <f>IF(C14&gt;=Inputs!$B$19,NA(),(V14+12*I15)*(1+Inputs!$B$11))</f>
        <v>3533355.535005644</v>
      </c>
      <c r="W15" s="55">
        <f>IF(C14&gt;=Inputs!$B$19,NA(),IF(D15&lt;57,T15-V15,IF(D15&lt;58,90%*T15,T15)))</f>
        <v>-2036618.0204596606</v>
      </c>
      <c r="X15" s="57">
        <f>IF(E15&lt;Inputs!$B$7,Inputs!$B$10*(Inputs!$B$8-Inputs!$B$9),Inputs!$B$7*(Inputs!$B$8-Inputs!$B$9))</f>
        <v>1249.4999999999998</v>
      </c>
      <c r="Y15" s="58">
        <f>IF(C14&gt;=Inputs!$B$19,NA(),W15/T15)</f>
        <v>-1.3607048668633412</v>
      </c>
      <c r="Z15" s="17">
        <f>IF(C14&gt;=Inputs!$B$19,"",AA14)</f>
        <v>179927.99999999997</v>
      </c>
      <c r="AA15" s="17">
        <f>IF(C14&gt;=Inputs!$B$19,"",AA14+12*X15)</f>
        <v>194921.99999999997</v>
      </c>
      <c r="AB15" s="17">
        <f>IF(C14&gt;=Inputs!$B$19,"",12*IF(E15&lt;Inputs!$B$7,1.61%*E15,1.61%*Inputs!$B$7))</f>
        <v>2898</v>
      </c>
      <c r="AE15" s="17"/>
      <c r="AK15" s="22">
        <f t="shared" si="1"/>
        <v>-395625.13541169954</v>
      </c>
      <c r="AL15" s="96">
        <f>IF(C14=58,'efective tax rates'!$K$7,IF(C14&lt;58,-12*J15,""))</f>
        <v>-395625.13541169954</v>
      </c>
    </row>
    <row r="16" spans="1:38" ht="14.25">
      <c r="A16" s="51">
        <f>IF(A15=123,123,IF(B16=Inputs!$B$3,123,""))</f>
        <v>123</v>
      </c>
      <c r="B16" s="17">
        <f>IF(B15&gt;=Inputs!$B$19,"",B15+1)</f>
        <v>14</v>
      </c>
      <c r="C16" s="17">
        <f>IF(C15&gt;=Inputs!$B$19,"",C15+1)</f>
        <v>44</v>
      </c>
      <c r="D16" s="7">
        <f>IF(C15&gt;=Inputs!$B$19,NA(),D15+1)</f>
        <v>44</v>
      </c>
      <c r="E16" s="18">
        <f>IF(C15&gt;=Inputs!$B$19,"",E15*(1+Inputs!$B$18))</f>
        <v>146853.37134515645</v>
      </c>
      <c r="F16" s="18">
        <f>IF(C16&gt;=Inputs!$B$19,"",12*I16)</f>
        <v>150000</v>
      </c>
      <c r="G16" s="18">
        <f>IF(D16&gt;Inputs!$B$20,0,IF(E16&lt;Inputs!$B$7,(E16*Inputs!$B$9),IF(Inputs!$B$16=Inputs!$B$13,(E16*Inputs!$B$8)-(Inputs!$B$7*(Inputs!$B$8-Inputs!$B$9)),IF(Inputs!$B$16=Inputs!$B$14,(Inputs!$B$7*Inputs!$B$9),IF(Inputs!$B$16=Inputs!$B$15,(Inputs!$B$7*Inputs!$B$9),0)))))</f>
        <v>16372.904561418774</v>
      </c>
      <c r="H16" s="18">
        <f>IF(D16&gt;Inputs!$B$20,0,IF(E16&lt;Inputs!$B$7,(E16*Inputs!$B$8),IF(Inputs!$B$16=Inputs!$B$13,(E16*Inputs!$B$8),IF(Inputs!$B$16=Inputs!$B$14,(E16*Inputs!$B$8),IF(Inputs!$B$16=Inputs!$B$15,(Inputs!$B$7*Inputs!$B$8),0)))))</f>
        <v>17622.404561418774</v>
      </c>
      <c r="I16" s="18">
        <f t="shared" si="0"/>
        <v>12500</v>
      </c>
      <c r="J16" s="17">
        <f>IF(D16&gt;Inputs!$B$20,0,IF(E16&lt;Inputs!$B$7,(E16*Inputs!$B$8)+(E16*Inputs!$B$9),IF(Inputs!$B$16=Inputs!$B$13,(E16*Inputs!$B$8)+(E16*Inputs!$B$8)-(Inputs!$B$7*(Inputs!$B$8-Inputs!$B$9)),IF(Inputs!$B$16=Inputs!$B$14,(E16*Inputs!$B$8)+(Inputs!$B$7*Inputs!$B$9),IF(Inputs!$B$16=Inputs!$B$15,(Inputs!$B$7*Inputs!$B$8)+(Inputs!$B$7*Inputs!$B$9),0)))))</f>
        <v>33995.30912283755</v>
      </c>
      <c r="L16" s="33">
        <f>IF(A16=123,IF(C16&gt;=Inputs!$B$19,"",L15+12*J16),0)</f>
        <v>4710945.358609068</v>
      </c>
      <c r="M16" s="17"/>
      <c r="N16" s="33">
        <f>IF(A16=123,IF(C16&gt;=Inputs!$B$19,"",N15+(N15+12*J16+L15)*(Inputs!$B$11)),0)</f>
        <v>4294280.22466914</v>
      </c>
      <c r="O16" s="35">
        <f>IF(A16=123,IF(C16&gt;=Inputs!$B$19,"",P15),0)</f>
        <v>7868918.039862543</v>
      </c>
      <c r="P16" s="35">
        <f>IF(A16=123,IF(C16&gt;=Inputs!$B$19,"",(P15+12*J16)*(1+Inputs!$B$11)),0)</f>
        <v>9005225.583278215</v>
      </c>
      <c r="Q16" s="44">
        <f>IF(C16&gt;=Inputs!$B$19,"",R15)</f>
        <v>9365655.554408528</v>
      </c>
      <c r="R16" s="44">
        <f>IF(C16&gt;=Inputs!$B$19,"",(R15+12*J16)*(1+Inputs!$B$11))</f>
        <v>10633675.999104246</v>
      </c>
      <c r="S16" s="17">
        <f>IF(C16&gt;=Inputs!$B$19,"",T15)</f>
        <v>1496737.5145459834</v>
      </c>
      <c r="T16" s="17">
        <f>IF(A16=123,IF(C16&gt;=Inputs!$B$19,"",(T15)*(1+Inputs!$B$11)),IF(C15&gt;=Inputs!$B$19,"",(T15+12*J16)*(1+Inputs!$B$11)))</f>
        <v>1628450.41582603</v>
      </c>
      <c r="U16" s="55">
        <f>IF(C15&gt;=Inputs!$B$19,"",V15)</f>
        <v>3533355.535005644</v>
      </c>
      <c r="V16" s="56">
        <f>IF(C15&gt;=Inputs!$B$19,NA(),(V15+12*I16)*(1+Inputs!$B$11))</f>
        <v>4007490.822086141</v>
      </c>
      <c r="W16" s="55">
        <f>IF(C15&gt;=Inputs!$B$19,NA(),IF(D16&lt;57,T16-V16,IF(D16&lt;58,90%*T16,T16)))</f>
        <v>-2379040.406260111</v>
      </c>
      <c r="X16" s="57">
        <f>IF(E16&lt;Inputs!$B$7,Inputs!$B$10*(Inputs!$B$8-Inputs!$B$9),Inputs!$B$7*(Inputs!$B$8-Inputs!$B$9))</f>
        <v>1249.4999999999998</v>
      </c>
      <c r="Y16" s="58">
        <f>IF(C15&gt;=Inputs!$B$19,NA(),W16/T16)</f>
        <v>-1.4609228399830305</v>
      </c>
      <c r="Z16" s="17">
        <f>IF(C15&gt;=Inputs!$B$19,"",AA15)</f>
        <v>194921.99999999997</v>
      </c>
      <c r="AA16" s="17">
        <f>IF(C15&gt;=Inputs!$B$19,"",AA15+12*X16)</f>
        <v>209915.99999999997</v>
      </c>
      <c r="AB16" s="17">
        <f>IF(C15&gt;=Inputs!$B$19,"",12*IF(E16&lt;Inputs!$B$7,1.61%*E16,1.61%*Inputs!$B$7))</f>
        <v>2898</v>
      </c>
      <c r="AE16" s="17"/>
      <c r="AK16" s="22">
        <f t="shared" si="1"/>
        <v>-407943.70947405056</v>
      </c>
      <c r="AL16" s="96">
        <f>IF(C15=58,'efective tax rates'!$K$7,IF(C15&lt;58,-12*J16,""))</f>
        <v>-407943.70947405056</v>
      </c>
    </row>
    <row r="17" spans="1:38" s="9" customFormat="1" ht="14.25">
      <c r="A17" s="51">
        <f>IF(A16=123,123,IF(B17=Inputs!$B$3,123,""))</f>
        <v>123</v>
      </c>
      <c r="B17" s="33">
        <f>IF(B16&gt;=Inputs!$B$19,"",B16+1)</f>
        <v>15</v>
      </c>
      <c r="C17" s="33">
        <f>IF(C16&gt;=Inputs!$B$19,"",C16+1)</f>
        <v>45</v>
      </c>
      <c r="D17" s="100">
        <f>IF(C16&gt;=Inputs!$B$19,NA(),D16+1)</f>
        <v>45</v>
      </c>
      <c r="E17" s="101">
        <f>IF(C16&gt;=Inputs!$B$19,"",E16*(1+Inputs!$B$18))</f>
        <v>151258.97248551116</v>
      </c>
      <c r="F17" s="101">
        <f>IF(C17&gt;=Inputs!$B$19,"",12*I17)</f>
        <v>150000</v>
      </c>
      <c r="G17" s="101">
        <f>IF(D17&gt;Inputs!$B$20,0,IF(E17&lt;Inputs!$B$7,(E17*Inputs!$B$9),IF(Inputs!$B$16=Inputs!$B$13,(E17*Inputs!$B$8)-(Inputs!$B$7*(Inputs!$B$8-Inputs!$B$9)),IF(Inputs!$B$16=Inputs!$B$14,(Inputs!$B$7*Inputs!$B$9),IF(Inputs!$B$16=Inputs!$B$15,(Inputs!$B$7*Inputs!$B$9),0)))))</f>
        <v>16901.57669826134</v>
      </c>
      <c r="H17" s="101">
        <f>IF(D17&gt;Inputs!$B$20,0,IF(E17&lt;Inputs!$B$7,(E17*Inputs!$B$8),IF(Inputs!$B$16=Inputs!$B$13,(E17*Inputs!$B$8),IF(Inputs!$B$16=Inputs!$B$14,(E17*Inputs!$B$8),IF(Inputs!$B$16=Inputs!$B$15,(Inputs!$B$7*Inputs!$B$8),0)))))</f>
        <v>18151.07669826134</v>
      </c>
      <c r="I17" s="101">
        <f t="shared" si="0"/>
        <v>12500</v>
      </c>
      <c r="J17" s="102">
        <f>IF(D17&gt;Inputs!$B$20,0,IF(E17&lt;Inputs!$B$7,(E17*Inputs!$B$8)+(E17*Inputs!$B$9),IF(Inputs!$B$16=Inputs!$B$13,(E17*Inputs!$B$8)+(E17*Inputs!$B$8)-(Inputs!$B$7*(Inputs!$B$8-Inputs!$B$9)),IF(Inputs!$B$16=Inputs!$B$14,(E17*Inputs!$B$8)+(Inputs!$B$7*Inputs!$B$9),IF(Inputs!$B$16=Inputs!$B$15,(Inputs!$B$7*Inputs!$B$8)+(Inputs!$B$7*Inputs!$B$9),0)))))</f>
        <v>35052.65339652268</v>
      </c>
      <c r="K17" s="32"/>
      <c r="L17" s="33">
        <f>IF(A17=123,IF(C17&gt;=Inputs!$B$19,"",L16+12*J17),0)</f>
        <v>5131577.199367341</v>
      </c>
      <c r="M17" s="33"/>
      <c r="N17" s="33">
        <f>IF(A17=123,IF(C17&gt;=Inputs!$B$19,"",N16+(N16+12*J17+L16)*(Inputs!$B$11)),0)</f>
        <v>5123755.67798435</v>
      </c>
      <c r="O17" s="35">
        <f>IF(A17=123,IF(C17&gt;=Inputs!$B$19,"",P16),0)</f>
        <v>9005225.583278215</v>
      </c>
      <c r="P17" s="35">
        <f>IF(A17=123,IF(C17&gt;=Inputs!$B$19,"",(P16+12*J17)*(1+Inputs!$B$11)),0)</f>
        <v>10255332.877351698</v>
      </c>
      <c r="Q17" s="44">
        <f>IF(C17&gt;=Inputs!$B$19,"",R16)</f>
        <v>10633675.999104246</v>
      </c>
      <c r="R17" s="44">
        <f>IF(C17&gt;=Inputs!$B$19,"",(R16+12*J17)*(1+Inputs!$B$11))</f>
        <v>12027086.929770421</v>
      </c>
      <c r="S17" s="17">
        <f>IF(C17&gt;=Inputs!$B$19,"",T16)</f>
        <v>1628450.41582603</v>
      </c>
      <c r="T17" s="17">
        <f>IF(A17=123,IF(C17&gt;=Inputs!$B$19,"",(T16)*(1+Inputs!$B$11)),IF(C16&gt;=Inputs!$B$19,"",(T16+12*J17)*(1+Inputs!$B$11)))</f>
        <v>1771754.052418721</v>
      </c>
      <c r="U17" s="59">
        <f>IF(C16&gt;=Inputs!$B$19,"",V16)</f>
        <v>4007490.822086141</v>
      </c>
      <c r="V17" s="60">
        <f>IF(C16&gt;=Inputs!$B$19,NA(),(V16+12*I17)*(1+Inputs!$B$11))</f>
        <v>4523350.014429722</v>
      </c>
      <c r="W17" s="59">
        <f>IF(C16&gt;=Inputs!$B$19,NA(),IF(D17&lt;57,T17-V17,IF(D17&lt;58,90%*T17,T17)))</f>
        <v>-2751595.962011001</v>
      </c>
      <c r="X17" s="61">
        <f>IF(E17&lt;Inputs!$B$7,Inputs!$B$10*(Inputs!$B$8-Inputs!$B$9),Inputs!$B$7*(Inputs!$B$8-Inputs!$B$9))</f>
        <v>1249.4999999999998</v>
      </c>
      <c r="Y17" s="62">
        <f>IF(C16&gt;=Inputs!$B$19,NA(),W17/T17)</f>
        <v>-1.553034947629804</v>
      </c>
      <c r="Z17" s="102">
        <f>IF(C16&gt;=Inputs!$B$19,"",AA16)</f>
        <v>209915.99999999997</v>
      </c>
      <c r="AA17" s="102">
        <f>IF(C16&gt;=Inputs!$B$19,"",AA16+12*X17)</f>
        <v>224909.99999999997</v>
      </c>
      <c r="AB17" s="17">
        <f>IF(C16&gt;=Inputs!$B$19,"",12*IF(E17&lt;Inputs!$B$7,1.61%*E17,1.61%*Inputs!$B$7))</f>
        <v>2898</v>
      </c>
      <c r="AC17" s="32"/>
      <c r="AD17" s="32"/>
      <c r="AE17" s="33"/>
      <c r="AF17" s="32"/>
      <c r="AG17" s="32"/>
      <c r="AH17" s="32"/>
      <c r="AI17" s="32"/>
      <c r="AJ17" s="32"/>
      <c r="AK17" s="22">
        <f t="shared" si="1"/>
        <v>-420631.8407582721</v>
      </c>
      <c r="AL17" s="96">
        <f>IF(C16=58,'efective tax rates'!$K$7,IF(C16&lt;58,-12*J17,""))</f>
        <v>-420631.8407582721</v>
      </c>
    </row>
    <row r="18" spans="1:38" ht="14.25">
      <c r="A18" s="51">
        <f>IF(A17=123,123,IF(B18=Inputs!$B$3,123,""))</f>
        <v>123</v>
      </c>
      <c r="B18" s="17">
        <f>IF(B17&gt;=Inputs!$B$19,"",B17+1)</f>
        <v>16</v>
      </c>
      <c r="C18" s="19">
        <f>IF(C17&gt;=Inputs!$B$19,"",C17+1)</f>
        <v>46</v>
      </c>
      <c r="D18" s="7">
        <f>IF(C17&gt;=Inputs!$B$19,NA(),D17+1)</f>
        <v>46</v>
      </c>
      <c r="E18" s="13">
        <f>IF(C17&gt;=Inputs!$B$19,"",E17*(1+Inputs!$B$18))</f>
        <v>155796.74166007648</v>
      </c>
      <c r="F18" s="18">
        <f>IF(C18&gt;=Inputs!$B$19,"",12*I18)</f>
        <v>150000</v>
      </c>
      <c r="G18" s="18">
        <f>IF(D18&gt;Inputs!$B$20,0,IF(E18&lt;Inputs!$B$7,(E18*Inputs!$B$9),IF(Inputs!$B$16=Inputs!$B$13,(E18*Inputs!$B$8)-(Inputs!$B$7*(Inputs!$B$8-Inputs!$B$9)),IF(Inputs!$B$16=Inputs!$B$14,(Inputs!$B$7*Inputs!$B$9),IF(Inputs!$B$16=Inputs!$B$15,(Inputs!$B$7*Inputs!$B$9),0)))))</f>
        <v>17446.108999209177</v>
      </c>
      <c r="H18" s="18">
        <f>IF(D18&gt;Inputs!$B$20,0,IF(E18&lt;Inputs!$B$7,(E18*Inputs!$B$8),IF(Inputs!$B$16=Inputs!$B$13,(E18*Inputs!$B$8),IF(Inputs!$B$16=Inputs!$B$14,(E18*Inputs!$B$8),IF(Inputs!$B$16=Inputs!$B$15,(Inputs!$B$7*Inputs!$B$8),0)))))</f>
        <v>18695.608999209177</v>
      </c>
      <c r="I18" s="18">
        <f t="shared" si="0"/>
        <v>12500</v>
      </c>
      <c r="J18" s="17">
        <f>IF(D18&gt;Inputs!$B$20,0,IF(E18&lt;Inputs!$B$7,(E18*Inputs!$B$8)+(E18*Inputs!$B$9),IF(Inputs!$B$16=Inputs!$B$13,(E18*Inputs!$B$8)+(E18*Inputs!$B$8)-(Inputs!$B$7*(Inputs!$B$8-Inputs!$B$9)),IF(Inputs!$B$16=Inputs!$B$14,(E18*Inputs!$B$8)+(Inputs!$B$7*Inputs!$B$9),IF(Inputs!$B$16=Inputs!$B$15,(Inputs!$B$7*Inputs!$B$8)+(Inputs!$B$7*Inputs!$B$9),0)))))</f>
        <v>36141.71799841835</v>
      </c>
      <c r="L18" s="33">
        <f>IF(A18=123,IF(C18&gt;=Inputs!$B$19,"",L17+12*J18),0)</f>
        <v>5565277.815348361</v>
      </c>
      <c r="M18" s="28"/>
      <c r="N18" s="33">
        <f>IF(A18=123,IF(C18&gt;=Inputs!$B$19,"",N17+(N17+12*J18+L17)*(Inputs!$B$11)),0)</f>
        <v>6064390.625397629</v>
      </c>
      <c r="O18" s="35">
        <f>IF(A18=123,IF(C18&gt;=Inputs!$B$19,"",P17),0)</f>
        <v>10255332.877351698</v>
      </c>
      <c r="P18" s="35">
        <f>IF(A18=123,IF(C18&gt;=Inputs!$B$19,"",(P17+12*J18)*(1+Inputs!$B$11)),0)</f>
        <v>11629668.440745998</v>
      </c>
      <c r="Q18" s="44">
        <f>IF(C18&gt;=Inputs!$B$19,"",R17)</f>
        <v>12027086.929770421</v>
      </c>
      <c r="R18" s="44">
        <f>IF(C18&gt;=Inputs!$B$19,"",(R17+12*J18)*(1+Inputs!$B$11))</f>
        <v>13557336.84977757</v>
      </c>
      <c r="S18" s="17">
        <f>IF(C18&gt;=Inputs!$B$19,"",T17)</f>
        <v>1771754.052418721</v>
      </c>
      <c r="T18" s="17">
        <f>IF(A18=123,IF(C18&gt;=Inputs!$B$19,"",(T17)*(1+Inputs!$B$11)),IF(C17&gt;=Inputs!$B$19,"",(T17+12*J18)*(1+Inputs!$B$11)))</f>
        <v>1927668.4090315686</v>
      </c>
      <c r="U18" s="55">
        <f>IF(C17&gt;=Inputs!$B$19,"",V17)</f>
        <v>4523350.014429722</v>
      </c>
      <c r="V18" s="56">
        <f>IF(C17&gt;=Inputs!$B$19,NA(),(V17+12*I18)*(1+Inputs!$B$11))</f>
        <v>5084604.815699538</v>
      </c>
      <c r="W18" s="55">
        <f>IF(C17&gt;=Inputs!$B$19,NA(),IF(D18&lt;57,T18-V18,IF(D18&lt;58,90%*T18,T18)))</f>
        <v>-3156936.4066679697</v>
      </c>
      <c r="X18" s="57">
        <f>IF(E18&lt;Inputs!$B$7,Inputs!$B$10*(Inputs!$B$8-Inputs!$B$9),Inputs!$B$7*(Inputs!$B$8-Inputs!$B$9))</f>
        <v>1249.4999999999998</v>
      </c>
      <c r="Y18" s="58">
        <f>IF(C17&gt;=Inputs!$B$19,NA(),W18/T18)</f>
        <v>-1.6376968112757353</v>
      </c>
      <c r="Z18" s="11">
        <f>IF(C17&gt;=Inputs!$B$19,"",AA17)</f>
        <v>224909.99999999997</v>
      </c>
      <c r="AA18" s="11">
        <f>IF(C17&gt;=Inputs!$B$19,"",AA17+12*X18)</f>
        <v>239903.99999999997</v>
      </c>
      <c r="AB18" s="11">
        <f>IF(C17&gt;=Inputs!$B$19,"",12*IF(E18&lt;Inputs!$B$7,1.61%*E18,1.61%*Inputs!$B$7))</f>
        <v>2898</v>
      </c>
      <c r="AE18" s="28"/>
      <c r="AK18" s="22">
        <f t="shared" si="1"/>
        <v>-433700.61598102027</v>
      </c>
      <c r="AL18" s="96">
        <f>IF(C17=58,'efective tax rates'!$K$7,IF(C17&lt;58,-12*J18,""))</f>
        <v>-433700.61598102027</v>
      </c>
    </row>
    <row r="19" spans="1:38" ht="14.25">
      <c r="A19" s="51">
        <f>IF(A18=123,123,IF(B19=Inputs!$B$3,123,""))</f>
        <v>123</v>
      </c>
      <c r="B19" s="17">
        <f>IF(B18&gt;=Inputs!$B$19,"",B18+1)</f>
        <v>17</v>
      </c>
      <c r="C19" s="19">
        <f>IF(C18&gt;=Inputs!$B$19,"",C18+1)</f>
        <v>47</v>
      </c>
      <c r="D19" s="7">
        <f>IF(C18&gt;=Inputs!$B$19,NA(),D18+1)</f>
        <v>47</v>
      </c>
      <c r="E19" s="13">
        <f>IF(C18&gt;=Inputs!$B$19,"",E18*(1+Inputs!$B$18))</f>
        <v>160470.6439098788</v>
      </c>
      <c r="F19" s="18">
        <f>IF(C19&gt;=Inputs!$B$19,"",12*I19)</f>
        <v>150000</v>
      </c>
      <c r="G19" s="18">
        <f>IF(D19&gt;Inputs!$B$20,0,IF(E19&lt;Inputs!$B$7,(E19*Inputs!$B$9),IF(Inputs!$B$16=Inputs!$B$13,(E19*Inputs!$B$8)-(Inputs!$B$7*(Inputs!$B$8-Inputs!$B$9)),IF(Inputs!$B$16=Inputs!$B$14,(Inputs!$B$7*Inputs!$B$9),IF(Inputs!$B$16=Inputs!$B$15,(Inputs!$B$7*Inputs!$B$9),0)))))</f>
        <v>18006.977269185456</v>
      </c>
      <c r="H19" s="18">
        <f>IF(D19&gt;Inputs!$B$20,0,IF(E19&lt;Inputs!$B$7,(E19*Inputs!$B$8),IF(Inputs!$B$16=Inputs!$B$13,(E19*Inputs!$B$8),IF(Inputs!$B$16=Inputs!$B$14,(E19*Inputs!$B$8),IF(Inputs!$B$16=Inputs!$B$15,(Inputs!$B$7*Inputs!$B$8),0)))))</f>
        <v>19256.477269185456</v>
      </c>
      <c r="I19" s="18">
        <f t="shared" si="0"/>
        <v>12500</v>
      </c>
      <c r="J19" s="17">
        <f>IF(D19&gt;Inputs!$B$20,0,IF(E19&lt;Inputs!$B$7,(E19*Inputs!$B$8)+(E19*Inputs!$B$9),IF(Inputs!$B$16=Inputs!$B$13,(E19*Inputs!$B$8)+(E19*Inputs!$B$8)-(Inputs!$B$7*(Inputs!$B$8-Inputs!$B$9)),IF(Inputs!$B$16=Inputs!$B$14,(E19*Inputs!$B$8)+(Inputs!$B$7*Inputs!$B$9),IF(Inputs!$B$16=Inputs!$B$15,(Inputs!$B$7*Inputs!$B$8)+(Inputs!$B$7*Inputs!$B$9),0)))))</f>
        <v>37263.45453837091</v>
      </c>
      <c r="L19" s="33">
        <f>IF(A19=123,IF(C19&gt;=Inputs!$B$19,"",L18+12*J19),0)</f>
        <v>6012439.269808812</v>
      </c>
      <c r="M19" s="28"/>
      <c r="N19" s="33">
        <f>IF(A19=123,IF(C19&gt;=Inputs!$B$19,"",N18+(N18+12*J19+L18)*(Inputs!$B$11)),0)</f>
        <v>7127151.656175796</v>
      </c>
      <c r="O19" s="35">
        <f>IF(A19=123,IF(C19&gt;=Inputs!$B$19,"",P18),0)</f>
        <v>11629668.440745998</v>
      </c>
      <c r="P19" s="35">
        <f>IF(A19=123,IF(C19&gt;=Inputs!$B$19,"",(P18+12*J19)*(1+Inputs!$B$11)),0)</f>
        <v>13139590.925984617</v>
      </c>
      <c r="Q19" s="44">
        <f>IF(C19&gt;=Inputs!$B$19,"",R18)</f>
        <v>13557336.84977757</v>
      </c>
      <c r="R19" s="44">
        <f>IF(C19&gt;=Inputs!$B$19,"",(R18+12*J19)*(1+Inputs!$B$11))</f>
        <v>15236894.155010968</v>
      </c>
      <c r="S19" s="17">
        <f>IF(C19&gt;=Inputs!$B$19,"",T18)</f>
        <v>1927668.4090315686</v>
      </c>
      <c r="T19" s="17">
        <f>IF(A19=123,IF(C19&gt;=Inputs!$B$19,"",(T18)*(1+Inputs!$B$11)),IF(C18&gt;=Inputs!$B$19,"",(T18+12*J19)*(1+Inputs!$B$11)))</f>
        <v>2097303.229026347</v>
      </c>
      <c r="U19" s="55">
        <f>IF(C18&gt;=Inputs!$B$19,"",V18)</f>
        <v>5084604.815699538</v>
      </c>
      <c r="V19" s="56">
        <f>IF(C18&gt;=Inputs!$B$19,NA(),(V18+12*I19)*(1+Inputs!$B$11))</f>
        <v>5695250.039481098</v>
      </c>
      <c r="W19" s="55">
        <f>IF(C18&gt;=Inputs!$B$19,NA(),IF(D19&lt;57,T19-V19,IF(D19&lt;58,90%*T19,T19)))</f>
        <v>-3597946.810454751</v>
      </c>
      <c r="X19" s="57">
        <f>IF(E19&lt;Inputs!$B$7,Inputs!$B$10*(Inputs!$B$8-Inputs!$B$9),Inputs!$B$7*(Inputs!$B$8-Inputs!$B$9))</f>
        <v>1249.4999999999998</v>
      </c>
      <c r="Y19" s="58">
        <f>IF(C18&gt;=Inputs!$B$19,NA(),W19/T19)</f>
        <v>-1.7155110241855984</v>
      </c>
      <c r="Z19" s="11">
        <f>IF(C18&gt;=Inputs!$B$19,"",AA18)</f>
        <v>239903.99999999997</v>
      </c>
      <c r="AA19" s="11">
        <f>IF(C18&gt;=Inputs!$B$19,"",AA18+12*X19)</f>
        <v>254897.99999999997</v>
      </c>
      <c r="AB19" s="11">
        <f>IF(C18&gt;=Inputs!$B$19,"",12*IF(E19&lt;Inputs!$B$7,1.61%*E19,1.61%*Inputs!$B$7))</f>
        <v>2898</v>
      </c>
      <c r="AE19" s="17"/>
      <c r="AK19" s="22">
        <f t="shared" si="1"/>
        <v>-447161.4544604509</v>
      </c>
      <c r="AL19" s="96">
        <f>IF(C18=58,'efective tax rates'!$K$7,IF(C18&lt;58,-12*J19,""))</f>
        <v>-447161.4544604509</v>
      </c>
    </row>
    <row r="20" spans="1:38" ht="14.25">
      <c r="A20" s="51">
        <f>IF(A19=123,123,IF(B20=Inputs!$B$3,123,""))</f>
        <v>123</v>
      </c>
      <c r="B20" s="17">
        <f>IF(B19&gt;=Inputs!$B$19,"",B19+1)</f>
        <v>18</v>
      </c>
      <c r="C20" s="19">
        <f>IF(C19&gt;=Inputs!$B$19,"",C19+1)</f>
        <v>48</v>
      </c>
      <c r="D20" s="7">
        <f>IF(C19&gt;=Inputs!$B$19,NA(),D19+1)</f>
        <v>48</v>
      </c>
      <c r="E20" s="13">
        <f>IF(C19&gt;=Inputs!$B$19,"",E19*(1+Inputs!$B$18))</f>
        <v>165284.76322717516</v>
      </c>
      <c r="F20" s="18">
        <f>IF(C20&gt;=Inputs!$B$19,"",12*I20)</f>
        <v>150000</v>
      </c>
      <c r="G20" s="18">
        <f>IF(D20&gt;Inputs!$B$20,0,IF(E20&lt;Inputs!$B$7,(E20*Inputs!$B$9),IF(Inputs!$B$16=Inputs!$B$13,(E20*Inputs!$B$8)-(Inputs!$B$7*(Inputs!$B$8-Inputs!$B$9)),IF(Inputs!$B$16=Inputs!$B$14,(Inputs!$B$7*Inputs!$B$9),IF(Inputs!$B$16=Inputs!$B$15,(Inputs!$B$7*Inputs!$B$9),0)))))</f>
        <v>18584.67158726102</v>
      </c>
      <c r="H20" s="18">
        <f>IF(D20&gt;Inputs!$B$20,0,IF(E20&lt;Inputs!$B$7,(E20*Inputs!$B$8),IF(Inputs!$B$16=Inputs!$B$13,(E20*Inputs!$B$8),IF(Inputs!$B$16=Inputs!$B$14,(E20*Inputs!$B$8),IF(Inputs!$B$16=Inputs!$B$15,(Inputs!$B$7*Inputs!$B$8),0)))))</f>
        <v>19834.17158726102</v>
      </c>
      <c r="I20" s="18">
        <f t="shared" si="0"/>
        <v>12500</v>
      </c>
      <c r="J20" s="17">
        <f>IF(D20&gt;Inputs!$B$20,0,IF(E20&lt;Inputs!$B$7,(E20*Inputs!$B$8)+(E20*Inputs!$B$9),IF(Inputs!$B$16=Inputs!$B$13,(E20*Inputs!$B$8)+(E20*Inputs!$B$8)-(Inputs!$B$7*(Inputs!$B$8-Inputs!$B$9)),IF(Inputs!$B$16=Inputs!$B$14,(E20*Inputs!$B$8)+(Inputs!$B$7*Inputs!$B$9),IF(Inputs!$B$16=Inputs!$B$15,(Inputs!$B$7*Inputs!$B$8)+(Inputs!$B$7*Inputs!$B$9),0)))))</f>
        <v>38418.84317452204</v>
      </c>
      <c r="L20" s="33">
        <f>IF(A20=123,IF(C20&gt;=Inputs!$B$19,"",L19+12*J20),0)</f>
        <v>6473465.387903077</v>
      </c>
      <c r="M20" s="28"/>
      <c r="N20" s="33">
        <f>IF(A20=123,IF(C20&gt;=Inputs!$B$19,"",N19+(N19+12*J20+L19)*(Inputs!$B$11)),0)</f>
        <v>8324005.956054737</v>
      </c>
      <c r="O20" s="35">
        <f>IF(A20=123,IF(C20&gt;=Inputs!$B$19,"",P19),0)</f>
        <v>13139590.925984617</v>
      </c>
      <c r="P20" s="35">
        <f>IF(A20=123,IF(C20&gt;=Inputs!$B$19,"",(P19+12*J20)*(1+Inputs!$B$11)),0)</f>
        <v>14797471.343957823</v>
      </c>
      <c r="Q20" s="44">
        <f>IF(C20&gt;=Inputs!$B$19,"",R19)</f>
        <v>15236894.155010968</v>
      </c>
      <c r="R20" s="44">
        <f>IF(C20&gt;=Inputs!$B$19,"",(R19+12*J20)*(1+Inputs!$B$11))</f>
        <v>17079337.257138494</v>
      </c>
      <c r="S20" s="17">
        <f>IF(C20&gt;=Inputs!$B$19,"",T19)</f>
        <v>2097303.229026347</v>
      </c>
      <c r="T20" s="17">
        <f>IF(A20=123,IF(C20&gt;=Inputs!$B$19,"",(T19)*(1+Inputs!$B$11)),IF(C19&gt;=Inputs!$B$19,"",(T19+12*J20)*(1+Inputs!$B$11)))</f>
        <v>2281865.9131806656</v>
      </c>
      <c r="U20" s="55">
        <f>IF(C19&gt;=Inputs!$B$19,"",V19)</f>
        <v>5695250.039481098</v>
      </c>
      <c r="V20" s="56">
        <f>IF(C19&gt;=Inputs!$B$19,NA(),(V19+12*I20)*(1+Inputs!$B$11))</f>
        <v>6359632.042955435</v>
      </c>
      <c r="W20" s="55">
        <f>IF(C19&gt;=Inputs!$B$19,NA(),IF(D20&lt;57,T20-V20,IF(D20&lt;58,90%*T20,T20)))</f>
        <v>-4077766.1297747693</v>
      </c>
      <c r="X20" s="57">
        <f>IF(E20&lt;Inputs!$B$7,Inputs!$B$10*(Inputs!$B$8-Inputs!$B$9),Inputs!$B$7*(Inputs!$B$8-Inputs!$B$9))</f>
        <v>1249.4999999999998</v>
      </c>
      <c r="Y20" s="58">
        <f>IF(C19&gt;=Inputs!$B$19,NA(),W20/T20)</f>
        <v>-1.7870314404630463</v>
      </c>
      <c r="Z20" s="11">
        <f>IF(C19&gt;=Inputs!$B$19,"",AA19)</f>
        <v>254897.99999999997</v>
      </c>
      <c r="AA20" s="11">
        <f>IF(C19&gt;=Inputs!$B$19,"",AA19+12*X20)</f>
        <v>269891.99999999994</v>
      </c>
      <c r="AB20" s="11">
        <f>IF(C19&gt;=Inputs!$B$19,"",12*IF(E20&lt;Inputs!$B$7,1.61%*E20,1.61%*Inputs!$B$7))</f>
        <v>2898</v>
      </c>
      <c r="AE20" s="17"/>
      <c r="AK20" s="22">
        <f t="shared" si="1"/>
        <v>-461026.1180942644</v>
      </c>
      <c r="AL20" s="96">
        <f>IF(C19=58,'efective tax rates'!$K$7,IF(C19&lt;58,-12*J20,""))</f>
        <v>-461026.1180942644</v>
      </c>
    </row>
    <row r="21" spans="1:38" ht="14.25">
      <c r="A21" s="51">
        <f>IF(A20=123,123,IF(B21=Inputs!$B$3,123,""))</f>
        <v>123</v>
      </c>
      <c r="B21" s="17">
        <f>IF(B20&gt;=Inputs!$B$19,"",B20+1)</f>
        <v>19</v>
      </c>
      <c r="C21" s="19">
        <f>IF(C20&gt;=Inputs!$B$19,"",C20+1)</f>
        <v>49</v>
      </c>
      <c r="D21" s="7">
        <f>IF(C20&gt;=Inputs!$B$19,NA(),D20+1)</f>
        <v>49</v>
      </c>
      <c r="E21" s="13">
        <f>IF(C20&gt;=Inputs!$B$19,"",E20*(1+Inputs!$B$18))</f>
        <v>170243.30612399042</v>
      </c>
      <c r="F21" s="18">
        <f>IF(C21&gt;=Inputs!$B$19,"",12*I21)</f>
        <v>150000</v>
      </c>
      <c r="G21" s="18">
        <f>IF(D21&gt;Inputs!$B$20,0,IF(E21&lt;Inputs!$B$7,(E21*Inputs!$B$9),IF(Inputs!$B$16=Inputs!$B$13,(E21*Inputs!$B$8)-(Inputs!$B$7*(Inputs!$B$8-Inputs!$B$9)),IF(Inputs!$B$16=Inputs!$B$14,(Inputs!$B$7*Inputs!$B$9),IF(Inputs!$B$16=Inputs!$B$15,(Inputs!$B$7*Inputs!$B$9),0)))))</f>
        <v>19179.69673487885</v>
      </c>
      <c r="H21" s="18">
        <f>IF(D21&gt;Inputs!$B$20,0,IF(E21&lt;Inputs!$B$7,(E21*Inputs!$B$8),IF(Inputs!$B$16=Inputs!$B$13,(E21*Inputs!$B$8),IF(Inputs!$B$16=Inputs!$B$14,(E21*Inputs!$B$8),IF(Inputs!$B$16=Inputs!$B$15,(Inputs!$B$7*Inputs!$B$8),0)))))</f>
        <v>20429.19673487885</v>
      </c>
      <c r="I21" s="18">
        <f t="shared" si="0"/>
        <v>12500</v>
      </c>
      <c r="J21" s="17">
        <f>IF(D21&gt;Inputs!$B$20,0,IF(E21&lt;Inputs!$B$7,(E21*Inputs!$B$8)+(E21*Inputs!$B$9),IF(Inputs!$B$16=Inputs!$B$13,(E21*Inputs!$B$8)+(E21*Inputs!$B$8)-(Inputs!$B$7*(Inputs!$B$8-Inputs!$B$9)),IF(Inputs!$B$16=Inputs!$B$14,(E21*Inputs!$B$8)+(Inputs!$B$7*Inputs!$B$9),IF(Inputs!$B$16=Inputs!$B$15,(Inputs!$B$7*Inputs!$B$8)+(Inputs!$B$7*Inputs!$B$9),0)))))</f>
        <v>39608.8934697577</v>
      </c>
      <c r="L21" s="33">
        <f>IF(A21=123,IF(C21&gt;=Inputs!$B$19,"",L20+12*J21),0)</f>
        <v>6948772.109540169</v>
      </c>
      <c r="M21" s="28"/>
      <c r="N21" s="33">
        <f>IF(A21=123,IF(C21&gt;=Inputs!$B$19,"",N20+(N20+12*J21+L20)*(Inputs!$B$11)),0)</f>
        <v>9668010.425827088</v>
      </c>
      <c r="O21" s="35">
        <f>IF(A21=123,IF(C21&gt;=Inputs!$B$19,"",P20),0)</f>
        <v>14797471.343957823</v>
      </c>
      <c r="P21" s="35">
        <f>IF(A21=123,IF(C21&gt;=Inputs!$B$19,"",(P20+12*J21)*(1+Inputs!$B$11)),0)</f>
        <v>16616782.53536727</v>
      </c>
      <c r="Q21" s="44">
        <f>IF(C21&gt;=Inputs!$B$19,"",R20)</f>
        <v>17079337.257138494</v>
      </c>
      <c r="R21" s="44">
        <f>IF(C21&gt;=Inputs!$B$19,"",(R20+12*J21)*(1+Inputs!$B$11))</f>
        <v>19099452.64890784</v>
      </c>
      <c r="S21" s="17">
        <f>IF(C21&gt;=Inputs!$B$19,"",T20)</f>
        <v>2281865.9131806656</v>
      </c>
      <c r="T21" s="17">
        <f>IF(A21=123,IF(C21&gt;=Inputs!$B$19,"",(T20)*(1+Inputs!$B$11)),IF(C20&gt;=Inputs!$B$19,"",(T20+12*J21)*(1+Inputs!$B$11)))</f>
        <v>2482670.113540564</v>
      </c>
      <c r="U21" s="55">
        <f>IF(C20&gt;=Inputs!$B$19,"",V20)</f>
        <v>6359632.042955435</v>
      </c>
      <c r="V21" s="56">
        <f>IF(C20&gt;=Inputs!$B$19,NA(),(V20+12*I21)*(1+Inputs!$B$11))</f>
        <v>7082479.662735513</v>
      </c>
      <c r="W21" s="55">
        <f>IF(C20&gt;=Inputs!$B$19,NA(),IF(D21&lt;57,T21-V21,IF(D21&lt;58,90%*T21,T21)))</f>
        <v>-4599809.549194949</v>
      </c>
      <c r="X21" s="57">
        <f>IF(E21&lt;Inputs!$B$7,Inputs!$B$10*(Inputs!$B$8-Inputs!$B$9),Inputs!$B$7*(Inputs!$B$8-Inputs!$B$9))</f>
        <v>1249.4999999999998</v>
      </c>
      <c r="Y21" s="58">
        <f>IF(C20&gt;=Inputs!$B$19,NA(),W21/T21)</f>
        <v>-1.8527671171886417</v>
      </c>
      <c r="Z21" s="11">
        <f>IF(C20&gt;=Inputs!$B$19,"",AA20)</f>
        <v>269891.99999999994</v>
      </c>
      <c r="AA21" s="11">
        <f>IF(C20&gt;=Inputs!$B$19,"",AA20+12*X21)</f>
        <v>284885.99999999994</v>
      </c>
      <c r="AB21" s="11">
        <f>IF(C20&gt;=Inputs!$B$19,"",12*IF(E21&lt;Inputs!$B$7,1.61%*E21,1.61%*Inputs!$B$7))</f>
        <v>2898</v>
      </c>
      <c r="AE21" s="17"/>
      <c r="AK21" s="22">
        <f t="shared" si="1"/>
        <v>-475306.7216370924</v>
      </c>
      <c r="AL21" s="96">
        <f>IF(C20=58,'efective tax rates'!$K$7,IF(C20&lt;58,-12*J21,""))</f>
        <v>-475306.7216370924</v>
      </c>
    </row>
    <row r="22" spans="1:38" ht="14.25">
      <c r="A22" s="51">
        <f>IF(A21=123,123,IF(B22=Inputs!$B$3,123,""))</f>
        <v>123</v>
      </c>
      <c r="B22" s="17">
        <f>IF(B21&gt;=Inputs!$B$19,"",B21+1)</f>
        <v>20</v>
      </c>
      <c r="C22" s="19">
        <f>IF(C21&gt;=Inputs!$B$19,"",C21+1)</f>
        <v>50</v>
      </c>
      <c r="D22" s="7">
        <f>IF(C21&gt;=Inputs!$B$19,NA(),D21+1)</f>
        <v>50</v>
      </c>
      <c r="E22" s="13">
        <f>IF(C21&gt;=Inputs!$B$19,"",E21*(1+Inputs!$B$18))</f>
        <v>175350.60530771012</v>
      </c>
      <c r="F22" s="18">
        <f>IF(C22&gt;=Inputs!$B$19,"",12*I22)</f>
        <v>150000</v>
      </c>
      <c r="G22" s="18">
        <f>IF(D22&gt;Inputs!$B$20,0,IF(E22&lt;Inputs!$B$7,(E22*Inputs!$B$9),IF(Inputs!$B$16=Inputs!$B$13,(E22*Inputs!$B$8)-(Inputs!$B$7*(Inputs!$B$8-Inputs!$B$9)),IF(Inputs!$B$16=Inputs!$B$14,(Inputs!$B$7*Inputs!$B$9),IF(Inputs!$B$16=Inputs!$B$15,(Inputs!$B$7*Inputs!$B$9),0)))))</f>
        <v>19792.572636925215</v>
      </c>
      <c r="H22" s="18">
        <f>IF(D22&gt;Inputs!$B$20,0,IF(E22&lt;Inputs!$B$7,(E22*Inputs!$B$8),IF(Inputs!$B$16=Inputs!$B$13,(E22*Inputs!$B$8),IF(Inputs!$B$16=Inputs!$B$14,(E22*Inputs!$B$8),IF(Inputs!$B$16=Inputs!$B$15,(Inputs!$B$7*Inputs!$B$8),0)))))</f>
        <v>21042.072636925215</v>
      </c>
      <c r="I22" s="18">
        <f t="shared" si="0"/>
        <v>12500</v>
      </c>
      <c r="J22" s="17">
        <f>IF(D22&gt;Inputs!$B$20,0,IF(E22&lt;Inputs!$B$7,(E22*Inputs!$B$8)+(E22*Inputs!$B$9),IF(Inputs!$B$16=Inputs!$B$13,(E22*Inputs!$B$8)+(E22*Inputs!$B$8)-(Inputs!$B$7*(Inputs!$B$8-Inputs!$B$9)),IF(Inputs!$B$16=Inputs!$B$14,(E22*Inputs!$B$8)+(Inputs!$B$7*Inputs!$B$9),IF(Inputs!$B$16=Inputs!$B$15,(Inputs!$B$7*Inputs!$B$8)+(Inputs!$B$7*Inputs!$B$9),0)))))</f>
        <v>40834.64527385043</v>
      </c>
      <c r="L22" s="33">
        <f>IF(A22=123,IF(C22&gt;=Inputs!$B$19,"",L21+12*J22),0)</f>
        <v>7438787.852826375</v>
      </c>
      <c r="M22" s="28"/>
      <c r="N22" s="33">
        <f>IF(A22=123,IF(C22&gt;=Inputs!$B$19,"",N21+(N21+12*J22+L21)*(Inputs!$B$11)),0)</f>
        <v>11173408.674348593</v>
      </c>
      <c r="O22" s="35">
        <f>IF(A22=123,IF(C22&gt;=Inputs!$B$19,"",P21),0)</f>
        <v>16616782.53536727</v>
      </c>
      <c r="P22" s="35">
        <f>IF(A22=123,IF(C22&gt;=Inputs!$B$19,"",(P21+12*J22)*(1+Inputs!$B$11)),0)</f>
        <v>18612196.52717498</v>
      </c>
      <c r="Q22" s="44">
        <f>IF(C22&gt;=Inputs!$B$19,"",R21)</f>
        <v>19099452.64890784</v>
      </c>
      <c r="R22" s="44">
        <f>IF(C22&gt;=Inputs!$B$19,"",(R21+12*J22)*(1+Inputs!$B$11))</f>
        <v>21313341.610707123</v>
      </c>
      <c r="S22" s="17">
        <f>IF(C22&gt;=Inputs!$B$19,"",T21)</f>
        <v>2482670.113540564</v>
      </c>
      <c r="T22" s="17">
        <f>IF(A22=123,IF(C22&gt;=Inputs!$B$19,"",(T21)*(1+Inputs!$B$11)),IF(C21&gt;=Inputs!$B$19,"",(T21+12*J22)*(1+Inputs!$B$11)))</f>
        <v>2701145.083532134</v>
      </c>
      <c r="U22" s="55">
        <f>IF(C21&gt;=Inputs!$B$19,"",V21)</f>
        <v>7082479.662735513</v>
      </c>
      <c r="V22" s="56">
        <f>IF(C21&gt;=Inputs!$B$19,NA(),(V21+12*I22)*(1+Inputs!$B$11))</f>
        <v>7868937.873056239</v>
      </c>
      <c r="W22" s="55">
        <f>IF(C21&gt;=Inputs!$B$19,NA(),IF(D22&lt;57,T22-V22,IF(D22&lt;58,90%*T22,T22)))</f>
        <v>-5167792.789524105</v>
      </c>
      <c r="X22" s="57">
        <f>IF(E22&lt;Inputs!$B$7,Inputs!$B$10*(Inputs!$B$8-Inputs!$B$9),Inputs!$B$7*(Inputs!$B$8-Inputs!$B$9))</f>
        <v>1249.4999999999998</v>
      </c>
      <c r="Y22" s="58">
        <f>IF(C21&gt;=Inputs!$B$19,NA(),W22/T22)</f>
        <v>-1.9131859377084908</v>
      </c>
      <c r="Z22" s="11">
        <f>IF(C21&gt;=Inputs!$B$19,"",AA21)</f>
        <v>284885.99999999994</v>
      </c>
      <c r="AA22" s="11">
        <f>IF(C21&gt;=Inputs!$B$19,"",AA21+12*X22)</f>
        <v>299879.99999999994</v>
      </c>
      <c r="AB22" s="11">
        <f>IF(C21&gt;=Inputs!$B$19,"",12*IF(E22&lt;Inputs!$B$7,1.61%*E22,1.61%*Inputs!$B$7))</f>
        <v>2898</v>
      </c>
      <c r="AE22" s="17"/>
      <c r="AK22" s="22">
        <f t="shared" si="1"/>
        <v>-490015.74328620516</v>
      </c>
      <c r="AL22" s="96">
        <f>IF(C21=58,'efective tax rates'!$K$7,IF(C21&lt;58,-12*J22,""))</f>
        <v>-490015.74328620516</v>
      </c>
    </row>
    <row r="23" spans="1:38" ht="14.25">
      <c r="A23" s="51">
        <f>IF(A22=123,123,IF(B23=Inputs!$B$3,123,""))</f>
        <v>123</v>
      </c>
      <c r="B23" s="17">
        <f>IF(B22&gt;=Inputs!$B$19,"",B22+1)</f>
        <v>21</v>
      </c>
      <c r="C23" s="19">
        <f>IF(C22&gt;=Inputs!$B$19,"",C22+1)</f>
        <v>51</v>
      </c>
      <c r="D23" s="7">
        <f>IF(C22&gt;=Inputs!$B$19,NA(),D22+1)</f>
        <v>51</v>
      </c>
      <c r="E23" s="13">
        <f>IF(C22&gt;=Inputs!$B$19,"",E22*(1+Inputs!$B$18))</f>
        <v>180611.12346694144</v>
      </c>
      <c r="F23" s="18">
        <f>IF(C23&gt;=Inputs!$B$19,"",12*I23)</f>
        <v>150000</v>
      </c>
      <c r="G23" s="18">
        <f>IF(D23&gt;Inputs!$B$20,0,IF(E23&lt;Inputs!$B$7,(E23*Inputs!$B$9),IF(Inputs!$B$16=Inputs!$B$13,(E23*Inputs!$B$8)-(Inputs!$B$7*(Inputs!$B$8-Inputs!$B$9)),IF(Inputs!$B$16=Inputs!$B$14,(Inputs!$B$7*Inputs!$B$9),IF(Inputs!$B$16=Inputs!$B$15,(Inputs!$B$7*Inputs!$B$9),0)))))</f>
        <v>20423.834816032973</v>
      </c>
      <c r="H23" s="18">
        <f>IF(D23&gt;Inputs!$B$20,0,IF(E23&lt;Inputs!$B$7,(E23*Inputs!$B$8),IF(Inputs!$B$16=Inputs!$B$13,(E23*Inputs!$B$8),IF(Inputs!$B$16=Inputs!$B$14,(E23*Inputs!$B$8),IF(Inputs!$B$16=Inputs!$B$15,(Inputs!$B$7*Inputs!$B$8),0)))))</f>
        <v>21673.334816032973</v>
      </c>
      <c r="I23" s="18">
        <f t="shared" si="0"/>
        <v>12500</v>
      </c>
      <c r="J23" s="17">
        <f>IF(D23&gt;Inputs!$B$20,0,IF(E23&lt;Inputs!$B$7,(E23*Inputs!$B$8)+(E23*Inputs!$B$9),IF(Inputs!$B$16=Inputs!$B$13,(E23*Inputs!$B$8)+(E23*Inputs!$B$8)-(Inputs!$B$7*(Inputs!$B$8-Inputs!$B$9)),IF(Inputs!$B$16=Inputs!$B$14,(E23*Inputs!$B$8)+(Inputs!$B$7*Inputs!$B$9),IF(Inputs!$B$16=Inputs!$B$15,(Inputs!$B$7*Inputs!$B$8)+(Inputs!$B$7*Inputs!$B$9),0)))))</f>
        <v>42097.16963206595</v>
      </c>
      <c r="L23" s="33">
        <f>IF(A23=123,IF(C23&gt;=Inputs!$B$19,"",L22+12*J23),0)</f>
        <v>7943953.888411166</v>
      </c>
      <c r="M23" s="28"/>
      <c r="N23" s="33">
        <f>IF(A23=123,IF(C23&gt;=Inputs!$B$19,"",N22+(N22+12*J23+L22)*(Inputs!$B$11)),0)</f>
        <v>12855736.579871451</v>
      </c>
      <c r="O23" s="35">
        <f>IF(A23=123,IF(C23&gt;=Inputs!$B$19,"",P22),0)</f>
        <v>18612196.52717498</v>
      </c>
      <c r="P23" s="35">
        <f>IF(A23=123,IF(C23&gt;=Inputs!$B$19,"",(P22+12*J23)*(1+Inputs!$B$11)),0)</f>
        <v>20799690.468282633</v>
      </c>
      <c r="Q23" s="44">
        <f>IF(C23&gt;=Inputs!$B$19,"",R22)</f>
        <v>21313341.610707123</v>
      </c>
      <c r="R23" s="44">
        <f>IF(C23&gt;=Inputs!$B$19,"",(R22+12*J23)*(1+Inputs!$B$11))</f>
        <v>23738536.319165606</v>
      </c>
      <c r="S23" s="17">
        <f>IF(C23&gt;=Inputs!$B$19,"",T22)</f>
        <v>2701145.083532134</v>
      </c>
      <c r="T23" s="17">
        <f>IF(A23=123,IF(C23&gt;=Inputs!$B$19,"",(T22)*(1+Inputs!$B$11)),IF(C22&gt;=Inputs!$B$19,"",(T22+12*J23)*(1+Inputs!$B$11)))</f>
        <v>2938845.850882962</v>
      </c>
      <c r="U23" s="55">
        <f>IF(C22&gt;=Inputs!$B$19,"",V22)</f>
        <v>7868937.873056239</v>
      </c>
      <c r="V23" s="56">
        <f>IF(C22&gt;=Inputs!$B$19,NA(),(V22+12*I23)*(1+Inputs!$B$11))</f>
        <v>8724604.40588519</v>
      </c>
      <c r="W23" s="55">
        <f>IF(C22&gt;=Inputs!$B$19,NA(),IF(D23&lt;57,T23-V23,IF(D23&lt;58,90%*T23,T23)))</f>
        <v>-5785758.555002227</v>
      </c>
      <c r="X23" s="57">
        <f>IF(E23&lt;Inputs!$B$7,Inputs!$B$10*(Inputs!$B$8-Inputs!$B$9),Inputs!$B$7*(Inputs!$B$8-Inputs!$B$9))</f>
        <v>1249.4999999999998</v>
      </c>
      <c r="Y23" s="58">
        <f>IF(C22&gt;=Inputs!$B$19,NA(),W23/T23)</f>
        <v>-1.9687179418627638</v>
      </c>
      <c r="Z23" s="11">
        <f>IF(C22&gt;=Inputs!$B$19,"",AA22)</f>
        <v>299879.99999999994</v>
      </c>
      <c r="AA23" s="11">
        <f>IF(C22&gt;=Inputs!$B$19,"",AA22+12*X23)</f>
        <v>314873.99999999994</v>
      </c>
      <c r="AB23" s="11">
        <f>IF(C22&gt;=Inputs!$B$19,"",12*IF(E23&lt;Inputs!$B$7,1.61%*E23,1.61%*Inputs!$B$7))</f>
        <v>2898</v>
      </c>
      <c r="AE23" s="17"/>
      <c r="AK23" s="22">
        <f t="shared" si="1"/>
        <v>-505166.03558479133</v>
      </c>
      <c r="AL23" s="96">
        <f>IF(C22=58,'efective tax rates'!$K$7,IF(C22&lt;58,-12*J23,""))</f>
        <v>-505166.03558479133</v>
      </c>
    </row>
    <row r="24" spans="1:38" ht="14.25">
      <c r="A24" s="51">
        <f>IF(A23=123,123,IF(B24=Inputs!$B$3,123,""))</f>
        <v>123</v>
      </c>
      <c r="B24" s="17">
        <f>IF(B23&gt;=Inputs!$B$19,"",B23+1)</f>
        <v>22</v>
      </c>
      <c r="C24" s="19">
        <f>IF(C23&gt;=Inputs!$B$19,"",C23+1)</f>
        <v>52</v>
      </c>
      <c r="D24" s="7">
        <f>IF(C23&gt;=Inputs!$B$19,NA(),D23+1)</f>
        <v>52</v>
      </c>
      <c r="E24" s="13">
        <f>IF(C23&gt;=Inputs!$B$19,"",E23*(1+Inputs!$B$18))</f>
        <v>186029.4571709497</v>
      </c>
      <c r="F24" s="18">
        <f>IF(C24&gt;=Inputs!$B$19,"",12*I24)</f>
        <v>150000</v>
      </c>
      <c r="G24" s="18">
        <f>IF(D24&gt;Inputs!$B$20,0,IF(E24&lt;Inputs!$B$7,(E24*Inputs!$B$9),IF(Inputs!$B$16=Inputs!$B$13,(E24*Inputs!$B$8)-(Inputs!$B$7*(Inputs!$B$8-Inputs!$B$9)),IF(Inputs!$B$16=Inputs!$B$14,(Inputs!$B$7*Inputs!$B$9),IF(Inputs!$B$16=Inputs!$B$15,(Inputs!$B$7*Inputs!$B$9),0)))))</f>
        <v>21074.034860513962</v>
      </c>
      <c r="H24" s="18">
        <f>IF(D24&gt;Inputs!$B$20,0,IF(E24&lt;Inputs!$B$7,(E24*Inputs!$B$8),IF(Inputs!$B$16=Inputs!$B$13,(E24*Inputs!$B$8),IF(Inputs!$B$16=Inputs!$B$14,(E24*Inputs!$B$8),IF(Inputs!$B$16=Inputs!$B$15,(Inputs!$B$7*Inputs!$B$8),0)))))</f>
        <v>22323.534860513962</v>
      </c>
      <c r="I24" s="18">
        <f t="shared" si="0"/>
        <v>12500</v>
      </c>
      <c r="J24" s="17">
        <f>IF(D24&gt;Inputs!$B$20,0,IF(E24&lt;Inputs!$B$7,(E24*Inputs!$B$8)+(E24*Inputs!$B$9),IF(Inputs!$B$16=Inputs!$B$13,(E24*Inputs!$B$8)+(E24*Inputs!$B$8)-(Inputs!$B$7*(Inputs!$B$8-Inputs!$B$9)),IF(Inputs!$B$16=Inputs!$B$14,(E24*Inputs!$B$8)+(Inputs!$B$7*Inputs!$B$9),IF(Inputs!$B$16=Inputs!$B$15,(Inputs!$B$7*Inputs!$B$8)+(Inputs!$B$7*Inputs!$B$9),0)))))</f>
        <v>43397.569721027925</v>
      </c>
      <c r="L24" s="33">
        <f>IF(A24=123,IF(C24&gt;=Inputs!$B$19,"",L23+12*J24),0)</f>
        <v>8464724.7250635</v>
      </c>
      <c r="M24" s="28"/>
      <c r="N24" s="33">
        <f>IF(A24=123,IF(C24&gt;=Inputs!$B$19,"",N23+(N23+12*J24+L23)*(Inputs!$B$11)),0)</f>
        <v>14731937.174705727</v>
      </c>
      <c r="O24" s="35">
        <f>IF(A24=123,IF(C24&gt;=Inputs!$B$19,"",P23),0)</f>
        <v>20799690.468282633</v>
      </c>
      <c r="P24" s="35">
        <f>IF(A24=123,IF(C24&gt;=Inputs!$B$19,"",(P23+12*J24)*(1+Inputs!$B$11)),0)</f>
        <v>23196661.899769247</v>
      </c>
      <c r="Q24" s="44">
        <f>IF(C24&gt;=Inputs!$B$19,"",R23)</f>
        <v>23738536.319165606</v>
      </c>
      <c r="R24" s="44">
        <f>IF(C24&gt;=Inputs!$B$19,"",(R23+12*J24)*(1+Inputs!$B$11))</f>
        <v>26394126.18552992</v>
      </c>
      <c r="S24" s="17">
        <f>IF(C24&gt;=Inputs!$B$19,"",T23)</f>
        <v>2938845.850882962</v>
      </c>
      <c r="T24" s="17">
        <f>IF(A24=123,IF(C24&gt;=Inputs!$B$19,"",(T23)*(1+Inputs!$B$11)),IF(C23&gt;=Inputs!$B$19,"",(T23+12*J24)*(1+Inputs!$B$11)))</f>
        <v>3197464.285760663</v>
      </c>
      <c r="U24" s="55">
        <f>IF(C23&gt;=Inputs!$B$19,"",V23)</f>
        <v>8724604.40588519</v>
      </c>
      <c r="V24" s="56">
        <f>IF(C23&gt;=Inputs!$B$19,NA(),(V23+12*I24)*(1+Inputs!$B$11))</f>
        <v>9655569.593603088</v>
      </c>
      <c r="W24" s="55">
        <f>IF(C23&gt;=Inputs!$B$19,NA(),IF(D24&lt;57,T24-V24,IF(D24&lt;58,90%*T24,T24)))</f>
        <v>-6458105.307842424</v>
      </c>
      <c r="X24" s="57">
        <f>IF(E24&lt;Inputs!$B$7,Inputs!$B$10*(Inputs!$B$8-Inputs!$B$9),Inputs!$B$7*(Inputs!$B$8-Inputs!$B$9))</f>
        <v>1249.4999999999998</v>
      </c>
      <c r="Y24" s="58">
        <f>IF(C23&gt;=Inputs!$B$19,NA(),W24/T24)</f>
        <v>-2.0197583868574998</v>
      </c>
      <c r="Z24" s="11">
        <f>IF(C23&gt;=Inputs!$B$19,"",AA23)</f>
        <v>314873.99999999994</v>
      </c>
      <c r="AA24" s="11">
        <f>IF(C23&gt;=Inputs!$B$19,"",AA23+12*X24)</f>
        <v>329867.99999999994</v>
      </c>
      <c r="AB24" s="11">
        <f>IF(C23&gt;=Inputs!$B$19,"",12*IF(E24&lt;Inputs!$B$7,1.61%*E24,1.61%*Inputs!$B$7))</f>
        <v>2898</v>
      </c>
      <c r="AE24" s="17"/>
      <c r="AK24" s="22">
        <f t="shared" si="1"/>
        <v>-520770.8366523351</v>
      </c>
      <c r="AL24" s="96">
        <f>IF(C23=58,'efective tax rates'!$K$7,IF(C23&lt;58,-12*J24,""))</f>
        <v>-520770.8366523351</v>
      </c>
    </row>
    <row r="25" spans="1:38" ht="14.25">
      <c r="A25" s="51">
        <f>IF(A24=123,123,IF(B25=Inputs!$B$3,123,""))</f>
        <v>123</v>
      </c>
      <c r="B25" s="17">
        <f>IF(B24&gt;=Inputs!$B$19,"",B24+1)</f>
        <v>23</v>
      </c>
      <c r="C25" s="19">
        <f>IF(C24&gt;=Inputs!$B$19,"",C24+1)</f>
        <v>53</v>
      </c>
      <c r="D25" s="7">
        <f>IF(C24&gt;=Inputs!$B$19,NA(),D24+1)</f>
        <v>53</v>
      </c>
      <c r="E25" s="13">
        <f>IF(C24&gt;=Inputs!$B$19,"",E24*(1+Inputs!$B$18))</f>
        <v>191610.3408860782</v>
      </c>
      <c r="F25" s="18">
        <f>IF(C25&gt;=Inputs!$B$19,"",12*I25)</f>
        <v>150000</v>
      </c>
      <c r="G25" s="18">
        <f>IF(D25&gt;Inputs!$B$20,0,IF(E25&lt;Inputs!$B$7,(E25*Inputs!$B$9),IF(Inputs!$B$16=Inputs!$B$13,(E25*Inputs!$B$8)-(Inputs!$B$7*(Inputs!$B$8-Inputs!$B$9)),IF(Inputs!$B$16=Inputs!$B$14,(Inputs!$B$7*Inputs!$B$9),IF(Inputs!$B$16=Inputs!$B$15,(Inputs!$B$7*Inputs!$B$9),0)))))</f>
        <v>21743.74090632938</v>
      </c>
      <c r="H25" s="18">
        <f>IF(D25&gt;Inputs!$B$20,0,IF(E25&lt;Inputs!$B$7,(E25*Inputs!$B$8),IF(Inputs!$B$16=Inputs!$B$13,(E25*Inputs!$B$8),IF(Inputs!$B$16=Inputs!$B$14,(E25*Inputs!$B$8),IF(Inputs!$B$16=Inputs!$B$15,(Inputs!$B$7*Inputs!$B$8),0)))))</f>
        <v>22993.24090632938</v>
      </c>
      <c r="I25" s="18">
        <f t="shared" si="0"/>
        <v>12500</v>
      </c>
      <c r="J25" s="17">
        <f>IF(D25&gt;Inputs!$B$20,0,IF(E25&lt;Inputs!$B$7,(E25*Inputs!$B$8)+(E25*Inputs!$B$9),IF(Inputs!$B$16=Inputs!$B$13,(E25*Inputs!$B$8)+(E25*Inputs!$B$8)-(Inputs!$B$7*(Inputs!$B$8-Inputs!$B$9)),IF(Inputs!$B$16=Inputs!$B$14,(E25*Inputs!$B$8)+(Inputs!$B$7*Inputs!$B$9),IF(Inputs!$B$16=Inputs!$B$15,(Inputs!$B$7*Inputs!$B$8)+(Inputs!$B$7*Inputs!$B$9),0)))))</f>
        <v>44736.98181265876</v>
      </c>
      <c r="L25" s="33">
        <f>IF(A25=123,IF(C25&gt;=Inputs!$B$19,"",L24+12*J25),0)</f>
        <v>9001568.506815406</v>
      </c>
      <c r="M25" s="28"/>
      <c r="N25" s="33">
        <f>IF(A25=123,IF(C25&gt;=Inputs!$B$19,"",N24+(N24+12*J25+L24)*(Inputs!$B$11)),0)</f>
        <v>16820485.674679585</v>
      </c>
      <c r="O25" s="35">
        <f>IF(A25=123,IF(C25&gt;=Inputs!$B$19,"",P24),0)</f>
        <v>23196661.899769247</v>
      </c>
      <c r="P25" s="35">
        <f>IF(A25=123,IF(C25&gt;=Inputs!$B$19,"",(P24+12*J25)*(1+Inputs!$B$11)),0)</f>
        <v>25822054.181495015</v>
      </c>
      <c r="Q25" s="44">
        <f>IF(C25&gt;=Inputs!$B$19,"",R24)</f>
        <v>26394126.18552992</v>
      </c>
      <c r="R25" s="44">
        <f>IF(C25&gt;=Inputs!$B$19,"",(R24+12*J25)*(1+Inputs!$B$11))</f>
        <v>29300895.32440263</v>
      </c>
      <c r="S25" s="17">
        <f>IF(C25&gt;=Inputs!$B$19,"",T24)</f>
        <v>3197464.285760663</v>
      </c>
      <c r="T25" s="17">
        <f>IF(A25=123,IF(C25&gt;=Inputs!$B$19,"",(T24)*(1+Inputs!$B$11)),IF(C24&gt;=Inputs!$B$19,"",(T24+12*J25)*(1+Inputs!$B$11)))</f>
        <v>3478841.142907602</v>
      </c>
      <c r="U25" s="55">
        <f>IF(C24&gt;=Inputs!$B$19,"",V24)</f>
        <v>9655569.593603088</v>
      </c>
      <c r="V25" s="56">
        <f>IF(C24&gt;=Inputs!$B$19,NA(),(V24+12*I25)*(1+Inputs!$B$11))</f>
        <v>10668459.71784016</v>
      </c>
      <c r="W25" s="55">
        <f>IF(C24&gt;=Inputs!$B$19,NA(),IF(D25&lt;57,T25-V25,IF(D25&lt;58,90%*T25,T25)))</f>
        <v>-7189618.5749325575</v>
      </c>
      <c r="X25" s="57">
        <f>IF(E25&lt;Inputs!$B$7,Inputs!$B$10*(Inputs!$B$8-Inputs!$B$9),Inputs!$B$7*(Inputs!$B$8-Inputs!$B$9))</f>
        <v>1249.4999999999998</v>
      </c>
      <c r="Y25" s="58">
        <f>IF(C24&gt;=Inputs!$B$19,NA(),W25/T25)</f>
        <v>-2.0666705605658966</v>
      </c>
      <c r="Z25" s="11">
        <f>IF(C24&gt;=Inputs!$B$19,"",AA24)</f>
        <v>329867.99999999994</v>
      </c>
      <c r="AA25" s="11">
        <f>IF(C24&gt;=Inputs!$B$19,"",AA24+12*X25)</f>
        <v>344861.99999999994</v>
      </c>
      <c r="AB25" s="11">
        <f>IF(C24&gt;=Inputs!$B$19,"",12*IF(E25&lt;Inputs!$B$7,1.61%*E25,1.61%*Inputs!$B$7))</f>
        <v>2898</v>
      </c>
      <c r="AE25" s="17"/>
      <c r="AK25" s="22">
        <f t="shared" si="1"/>
        <v>-536843.7817519051</v>
      </c>
      <c r="AL25" s="96">
        <f>IF(C24=58,'efective tax rates'!$K$7,IF(C24&lt;58,-12*J25,""))</f>
        <v>-536843.7817519051</v>
      </c>
    </row>
    <row r="26" spans="1:39" ht="14.25">
      <c r="A26" s="51">
        <f>IF(A25=123,123,IF(B26=Inputs!$B$3,123,""))</f>
        <v>123</v>
      </c>
      <c r="B26" s="17">
        <f>IF(B25&gt;=Inputs!$B$19,"",B25+1)</f>
        <v>24</v>
      </c>
      <c r="C26" s="19">
        <f>IF(C25&gt;=Inputs!$B$19,"",C25+1)</f>
        <v>54</v>
      </c>
      <c r="D26" s="7">
        <f>IF(C25&gt;=Inputs!$B$19,NA(),D25+1)</f>
        <v>54</v>
      </c>
      <c r="E26" s="13">
        <f>IF(C25&gt;=Inputs!$B$19,"",E25*(1+Inputs!$B$18))</f>
        <v>197358.65111266053</v>
      </c>
      <c r="F26" s="18">
        <f>IF(C26&gt;=Inputs!$B$19,"",12*I26)</f>
        <v>150000</v>
      </c>
      <c r="G26" s="18">
        <f>IF(D26&gt;Inputs!$B$20,0,IF(E26&lt;Inputs!$B$7,(E26*Inputs!$B$9),IF(Inputs!$B$16=Inputs!$B$13,(E26*Inputs!$B$8)-(Inputs!$B$7*(Inputs!$B$8-Inputs!$B$9)),IF(Inputs!$B$16=Inputs!$B$14,(Inputs!$B$7*Inputs!$B$9),IF(Inputs!$B$16=Inputs!$B$15,(Inputs!$B$7*Inputs!$B$9),0)))))</f>
        <v>22433.53813351926</v>
      </c>
      <c r="H26" s="18">
        <f>IF(D26&gt;Inputs!$B$20,0,IF(E26&lt;Inputs!$B$7,(E26*Inputs!$B$8),IF(Inputs!$B$16=Inputs!$B$13,(E26*Inputs!$B$8),IF(Inputs!$B$16=Inputs!$B$14,(E26*Inputs!$B$8),IF(Inputs!$B$16=Inputs!$B$15,(Inputs!$B$7*Inputs!$B$8),0)))))</f>
        <v>23683.03813351926</v>
      </c>
      <c r="I26" s="18">
        <f t="shared" si="0"/>
        <v>12500</v>
      </c>
      <c r="J26" s="17">
        <f>IF(D26&gt;Inputs!$B$20,0,IF(E26&lt;Inputs!$B$7,(E26*Inputs!$B$8)+(E26*Inputs!$B$9),IF(Inputs!$B$16=Inputs!$B$13,(E26*Inputs!$B$8)+(E26*Inputs!$B$8)-(Inputs!$B$7*(Inputs!$B$8-Inputs!$B$9)),IF(Inputs!$B$16=Inputs!$B$14,(E26*Inputs!$B$8)+(Inputs!$B$7*Inputs!$B$9),IF(Inputs!$B$16=Inputs!$B$15,(Inputs!$B$7*Inputs!$B$8)+(Inputs!$B$7*Inputs!$B$9),0)))))</f>
        <v>46116.57626703852</v>
      </c>
      <c r="L26" s="33">
        <f>IF(A26=123,IF(C26&gt;=Inputs!$B$19,"",L25+12*J26),0)</f>
        <v>9554967.422019867</v>
      </c>
      <c r="M26" s="28"/>
      <c r="N26" s="33">
        <f>IF(A26=123,IF(C26&gt;=Inputs!$B$19,"",N25+(N25+12*J26+L25)*(Inputs!$B$11)),0)</f>
        <v>19141525.547189135</v>
      </c>
      <c r="O26" s="35">
        <f>IF(A26=123,IF(C26&gt;=Inputs!$B$19,"",P25),0)</f>
        <v>25822054.181495015</v>
      </c>
      <c r="P26" s="35">
        <f>IF(A26=123,IF(C26&gt;=Inputs!$B$19,"",(P25+12*J26)*(1+Inputs!$B$11)),0)</f>
        <v>28696492.969209034</v>
      </c>
      <c r="Q26" s="44">
        <f>IF(C26&gt;=Inputs!$B$19,"",R25)</f>
        <v>29300895.32440263</v>
      </c>
      <c r="R26" s="44">
        <f>IF(C26&gt;=Inputs!$B$19,"",(R25+12*J26)*(1+Inputs!$B$11))</f>
        <v>32481472.13269252</v>
      </c>
      <c r="S26" s="17">
        <f>IF(C26&gt;=Inputs!$B$19,"",T25)</f>
        <v>3478841.142907602</v>
      </c>
      <c r="T26" s="17">
        <f>IF(A26=123,IF(C26&gt;=Inputs!$B$19,"",(T25)*(1+Inputs!$B$11)),IF(C25&gt;=Inputs!$B$19,"",(T25+12*J26)*(1+Inputs!$B$11)))</f>
        <v>3784979.163483471</v>
      </c>
      <c r="U26" s="55">
        <f>IF(C25&gt;=Inputs!$B$19,"",V25)</f>
        <v>10668459.71784016</v>
      </c>
      <c r="V26" s="56">
        <f>IF(C25&gt;=Inputs!$B$19,NA(),(V25+12*I26)*(1+Inputs!$B$11))</f>
        <v>11770484.173010094</v>
      </c>
      <c r="W26" s="55">
        <f>IF(C25&gt;=Inputs!$B$19,NA(),IF(D26&lt;57,T26-V26,IF(D26&lt;58,90%*T26,T26)))</f>
        <v>-7985505.009526623</v>
      </c>
      <c r="X26" s="57">
        <f>IF(E26&lt;Inputs!$B$7,Inputs!$B$10*(Inputs!$B$8-Inputs!$B$9),Inputs!$B$7*(Inputs!$B$8-Inputs!$B$9))</f>
        <v>1249.4999999999998</v>
      </c>
      <c r="Y26" s="58">
        <f>IF(C25&gt;=Inputs!$B$19,NA(),W26/T26)</f>
        <v>-2.109788367283173</v>
      </c>
      <c r="Z26" s="11">
        <f>IF(C25&gt;=Inputs!$B$19,"",AA25)</f>
        <v>344861.99999999994</v>
      </c>
      <c r="AA26" s="11">
        <f>IF(C25&gt;=Inputs!$B$19,"",AA25+12*X26)</f>
        <v>359855.99999999994</v>
      </c>
      <c r="AB26" s="11">
        <f>IF(C25&gt;=Inputs!$B$19,"",12*IF(E26&lt;Inputs!$B$7,1.61%*E26,1.61%*Inputs!$B$7))</f>
        <v>2898</v>
      </c>
      <c r="AE26" s="17"/>
      <c r="AK26" s="22">
        <f t="shared" si="1"/>
        <v>-553398.9152044622</v>
      </c>
      <c r="AL26" s="96">
        <f>IF(C25=58,'efective tax rates'!$K$7,IF(C25&lt;58,-12*J26,""))</f>
        <v>-553398.9152044622</v>
      </c>
      <c r="AM26" s="99"/>
    </row>
    <row r="27" spans="1:38" ht="14.25">
      <c r="A27" s="51">
        <f>IF(A26=123,123,IF(B27=Inputs!$B$3,123,""))</f>
        <v>123</v>
      </c>
      <c r="B27" s="17">
        <f>IF(B26&gt;=Inputs!$B$19,"",B26+1)</f>
        <v>25</v>
      </c>
      <c r="C27" s="19">
        <f>IF(C26&gt;=Inputs!$B$19,"",C26+1)</f>
        <v>55</v>
      </c>
      <c r="D27" s="7">
        <f>IF(C26&gt;=Inputs!$B$19,NA(),D26+1)</f>
        <v>55</v>
      </c>
      <c r="E27" s="13">
        <f>IF(C26&gt;=Inputs!$B$19,"",E26*(1+Inputs!$B$18))</f>
        <v>203279.41064604034</v>
      </c>
      <c r="F27" s="18">
        <f>IF(C27&gt;=Inputs!$B$19,"",12*I27)</f>
        <v>150000</v>
      </c>
      <c r="G27" s="18">
        <f>IF(D27&gt;Inputs!$B$20,0,IF(E27&lt;Inputs!$B$7,(E27*Inputs!$B$9),IF(Inputs!$B$16=Inputs!$B$13,(E27*Inputs!$B$8)-(Inputs!$B$7*(Inputs!$B$8-Inputs!$B$9)),IF(Inputs!$B$16=Inputs!$B$14,(Inputs!$B$7*Inputs!$B$9),IF(Inputs!$B$16=Inputs!$B$15,(Inputs!$B$7*Inputs!$B$9),0)))))</f>
        <v>23144.02927752484</v>
      </c>
      <c r="H27" s="18">
        <f>IF(D27&gt;Inputs!$B$20,0,IF(E27&lt;Inputs!$B$7,(E27*Inputs!$B$8),IF(Inputs!$B$16=Inputs!$B$13,(E27*Inputs!$B$8),IF(Inputs!$B$16=Inputs!$B$14,(E27*Inputs!$B$8),IF(Inputs!$B$16=Inputs!$B$15,(Inputs!$B$7*Inputs!$B$8),0)))))</f>
        <v>24393.52927752484</v>
      </c>
      <c r="I27" s="18">
        <f t="shared" si="0"/>
        <v>12500</v>
      </c>
      <c r="J27" s="17">
        <f>IF(D27&gt;Inputs!$B$20,0,IF(E27&lt;Inputs!$B$7,(E27*Inputs!$B$8)+(E27*Inputs!$B$9),IF(Inputs!$B$16=Inputs!$B$13,(E27*Inputs!$B$8)+(E27*Inputs!$B$8)-(Inputs!$B$7*(Inputs!$B$8-Inputs!$B$9)),IF(Inputs!$B$16=Inputs!$B$14,(E27*Inputs!$B$8)+(Inputs!$B$7*Inputs!$B$9),IF(Inputs!$B$16=Inputs!$B$15,(Inputs!$B$7*Inputs!$B$8)+(Inputs!$B$7*Inputs!$B$9),0)))))</f>
        <v>47537.55855504968</v>
      </c>
      <c r="L27" s="33">
        <f>IF(A27=123,IF(C27&gt;=Inputs!$B$19,"",L26+12*J27),0)</f>
        <v>10125418.124680463</v>
      </c>
      <c r="M27" s="28"/>
      <c r="N27" s="33">
        <f>IF(A27=123,IF(C27&gt;=Inputs!$B$19,"",N26+(N26+12*J27+L26)*(Inputs!$B$11)),0)</f>
        <v>21717016.590313658</v>
      </c>
      <c r="O27" s="35">
        <f>IF(A27=123,IF(C27&gt;=Inputs!$B$19,"",P26),0)</f>
        <v>28696492.969209034</v>
      </c>
      <c r="P27" s="35">
        <f>IF(A27=123,IF(C27&gt;=Inputs!$B$19,"",(P26+12*J27)*(1+Inputs!$B$11)),0)</f>
        <v>31842434.714994162</v>
      </c>
      <c r="Q27" s="44">
        <f>IF(C27&gt;=Inputs!$B$19,"",R26)</f>
        <v>32481472.13269252</v>
      </c>
      <c r="R27" s="44">
        <f>IF(C27&gt;=Inputs!$B$19,"",(R26+12*J27)*(1+Inputs!$B$11))</f>
        <v>35960492.04486419</v>
      </c>
      <c r="S27" s="17">
        <f>IF(C27&gt;=Inputs!$B$19,"",T26)</f>
        <v>3784979.163483471</v>
      </c>
      <c r="T27" s="17">
        <f>IF(A27=123,IF(C27&gt;=Inputs!$B$19,"",(T26)*(1+Inputs!$B$11)),IF(C26&gt;=Inputs!$B$19,"",(T26+12*J27)*(1+Inputs!$B$11)))</f>
        <v>4118057.329870017</v>
      </c>
      <c r="U27" s="55">
        <f>IF(C26&gt;=Inputs!$B$19,"",V26)</f>
        <v>11770484.173010094</v>
      </c>
      <c r="V27" s="56">
        <f>IF(C26&gt;=Inputs!$B$19,NA(),(V26+12*I27)*(1+Inputs!$B$11))</f>
        <v>12969486.780234983</v>
      </c>
      <c r="W27" s="55">
        <f>IF(C26&gt;=Inputs!$B$19,NA(),IF(D27&lt;57,T27-V27,IF(D27&lt;58,90%*T27,T27)))</f>
        <v>-8851429.450364966</v>
      </c>
      <c r="X27" s="57">
        <f>IF(E27&lt;Inputs!$B$7,Inputs!$B$10*(Inputs!$B$8-Inputs!$B$9),Inputs!$B$7*(Inputs!$B$8-Inputs!$B$9))</f>
        <v>1249.4999999999998</v>
      </c>
      <c r="Y27" s="58">
        <f>IF(C26&gt;=Inputs!$B$19,NA(),W27/T27)</f>
        <v>-2.1494187043394937</v>
      </c>
      <c r="Z27" s="11">
        <f>IF(C26&gt;=Inputs!$B$19,"",AA26)</f>
        <v>359855.99999999994</v>
      </c>
      <c r="AA27" s="11">
        <f>IF(C26&gt;=Inputs!$B$19,"",AA26+12*X27)</f>
        <v>374849.99999999994</v>
      </c>
      <c r="AB27" s="11">
        <f>IF(C26&gt;=Inputs!$B$19,"",12*IF(E27&lt;Inputs!$B$7,1.61%*E27,1.61%*Inputs!$B$7))</f>
        <v>2898</v>
      </c>
      <c r="AE27" s="17"/>
      <c r="AK27" s="22">
        <f t="shared" si="1"/>
        <v>-570450.7026605962</v>
      </c>
      <c r="AL27" s="96">
        <f>IF(C26=58,'efective tax rates'!$K$7,IF(C26&lt;58,-12*J27,""))</f>
        <v>-570450.7026605962</v>
      </c>
    </row>
    <row r="28" spans="1:38" ht="14.25">
      <c r="A28" s="51">
        <f>IF(A27=123,123,IF(B28=Inputs!$B$3,123,""))</f>
        <v>123</v>
      </c>
      <c r="B28" s="17">
        <f>IF(B27&gt;=Inputs!$B$19,"",B27+1)</f>
        <v>26</v>
      </c>
      <c r="C28" s="19">
        <f>IF(C27&gt;=Inputs!$B$19,"",C27+1)</f>
        <v>56</v>
      </c>
      <c r="D28" s="7">
        <f>IF(C27&gt;=Inputs!$B$19,NA(),D27+1)</f>
        <v>56</v>
      </c>
      <c r="E28" s="13">
        <f>IF(C27&gt;=Inputs!$B$19,"",E27*(1+Inputs!$B$18))</f>
        <v>209377.79296542157</v>
      </c>
      <c r="F28" s="18">
        <f>IF(C28&gt;=Inputs!$B$19,"",12*I28)</f>
        <v>150000</v>
      </c>
      <c r="G28" s="18">
        <f>IF(D28&gt;Inputs!$B$20,0,IF(E28&lt;Inputs!$B$7,(E28*Inputs!$B$9),IF(Inputs!$B$16=Inputs!$B$13,(E28*Inputs!$B$8)-(Inputs!$B$7*(Inputs!$B$8-Inputs!$B$9)),IF(Inputs!$B$16=Inputs!$B$14,(Inputs!$B$7*Inputs!$B$9),IF(Inputs!$B$16=Inputs!$B$15,(Inputs!$B$7*Inputs!$B$9),0)))))</f>
        <v>23875.83515585059</v>
      </c>
      <c r="H28" s="18">
        <f>IF(D28&gt;Inputs!$B$20,0,IF(E28&lt;Inputs!$B$7,(E28*Inputs!$B$8),IF(Inputs!$B$16=Inputs!$B$13,(E28*Inputs!$B$8),IF(Inputs!$B$16=Inputs!$B$14,(E28*Inputs!$B$8),IF(Inputs!$B$16=Inputs!$B$15,(Inputs!$B$7*Inputs!$B$8),0)))))</f>
        <v>25125.33515585059</v>
      </c>
      <c r="I28" s="18">
        <f t="shared" si="0"/>
        <v>12500</v>
      </c>
      <c r="J28" s="17">
        <f>IF(D28&gt;Inputs!$B$20,0,IF(E28&lt;Inputs!$B$7,(E28*Inputs!$B$8)+(E28*Inputs!$B$9),IF(Inputs!$B$16=Inputs!$B$13,(E28*Inputs!$B$8)+(E28*Inputs!$B$8)-(Inputs!$B$7*(Inputs!$B$8-Inputs!$B$9)),IF(Inputs!$B$16=Inputs!$B$14,(E28*Inputs!$B$8)+(Inputs!$B$7*Inputs!$B$9),IF(Inputs!$B$16=Inputs!$B$15,(Inputs!$B$7*Inputs!$B$8)+(Inputs!$B$7*Inputs!$B$9),0)))))</f>
        <v>49001.17031170118</v>
      </c>
      <c r="L28" s="33">
        <f>IF(A28=123,IF(C28&gt;=Inputs!$B$19,"",L27+12*J28),0)</f>
        <v>10713432.168420877</v>
      </c>
      <c r="M28" s="28"/>
      <c r="N28" s="33">
        <f>IF(A28=123,IF(C28&gt;=Inputs!$B$19,"",N27+(N27+12*J28+L27)*(Inputs!$B$11)),0)</f>
        <v>24570896.081082296</v>
      </c>
      <c r="O28" s="35">
        <f>IF(A28=123,IF(C28&gt;=Inputs!$B$19,"",P27),0)</f>
        <v>31842434.714994162</v>
      </c>
      <c r="P28" s="35">
        <f>IF(A28=123,IF(C28&gt;=Inputs!$B$19,"",(P27+12*J28)*(1+Inputs!$B$11)),0)</f>
        <v>35284328.249503225</v>
      </c>
      <c r="Q28" s="44">
        <f>IF(C28&gt;=Inputs!$B$19,"",R27)</f>
        <v>35960492.04486419</v>
      </c>
      <c r="R28" s="44">
        <f>IF(C28&gt;=Inputs!$B$19,"",(R27+12*J28)*(1+Inputs!$B$11))</f>
        <v>39764774.624401815</v>
      </c>
      <c r="S28" s="17">
        <f>IF(C28&gt;=Inputs!$B$19,"",T27)</f>
        <v>4118057.329870017</v>
      </c>
      <c r="T28" s="17">
        <f>IF(A28=123,IF(C28&gt;=Inputs!$B$19,"",(T27)*(1+Inputs!$B$11)),IF(C27&gt;=Inputs!$B$19,"",(T27+12*J28)*(1+Inputs!$B$11)))</f>
        <v>4480446.374898579</v>
      </c>
      <c r="U28" s="55">
        <f>IF(C27&gt;=Inputs!$B$19,"",V27)</f>
        <v>12969486.780234983</v>
      </c>
      <c r="V28" s="56">
        <f>IF(C27&gt;=Inputs!$B$19,NA(),(V27+12*I28)*(1+Inputs!$B$11))</f>
        <v>14274001.616895663</v>
      </c>
      <c r="W28" s="55">
        <f>IF(C27&gt;=Inputs!$B$19,NA(),IF(D28&lt;57,T28-V28,IF(D28&lt;58,90%*T28,T28)))</f>
        <v>-9793555.241997084</v>
      </c>
      <c r="X28" s="57">
        <f>IF(E28&lt;Inputs!$B$7,Inputs!$B$10*(Inputs!$B$8-Inputs!$B$9),Inputs!$B$7*(Inputs!$B$8-Inputs!$B$9))</f>
        <v>1249.4999999999998</v>
      </c>
      <c r="Y28" s="58">
        <f>IF(C27&gt;=Inputs!$B$19,NA(),W28/T28)</f>
        <v>-2.185843646486847</v>
      </c>
      <c r="Z28" s="11">
        <f>IF(C27&gt;=Inputs!$B$19,"",AA27)</f>
        <v>374849.99999999994</v>
      </c>
      <c r="AA28" s="11">
        <f>IF(C27&gt;=Inputs!$B$19,"",AA27+12*X28)</f>
        <v>389843.99999999994</v>
      </c>
      <c r="AB28" s="11">
        <f>IF(C27&gt;=Inputs!$B$19,"",12*IF(E28&lt;Inputs!$B$7,1.61%*E28,1.61%*Inputs!$B$7))</f>
        <v>2898</v>
      </c>
      <c r="AE28" s="17"/>
      <c r="AK28" s="22">
        <f t="shared" si="1"/>
        <v>-588014.0437404141</v>
      </c>
      <c r="AL28" s="96">
        <f>IF(C27=58,'efective tax rates'!$K$7,IF(C27&lt;58,-12*J28,""))</f>
        <v>-588014.0437404141</v>
      </c>
    </row>
    <row r="29" spans="1:38" ht="14.25">
      <c r="A29" s="51">
        <f>IF(A28=123,123,IF(B29=Inputs!$B$3,123,""))</f>
        <v>123</v>
      </c>
      <c r="B29" s="17">
        <f>IF(B28&gt;=Inputs!$B$19,"",B28+1)</f>
        <v>27</v>
      </c>
      <c r="C29" s="19">
        <f>IF(C28&gt;=Inputs!$B$19,"",C28+1)</f>
        <v>57</v>
      </c>
      <c r="D29" s="7">
        <f>IF(C28&gt;=Inputs!$B$19,NA(),D28+1)</f>
        <v>57</v>
      </c>
      <c r="E29" s="13">
        <f>IF(C28&gt;=Inputs!$B$19,"",E28*(1+Inputs!$B$18))</f>
        <v>215659.12675438423</v>
      </c>
      <c r="F29" s="18">
        <f>IF(C29&gt;=Inputs!$B$19,"",12*I29)</f>
        <v>150000</v>
      </c>
      <c r="G29" s="18">
        <f>IF(D29&gt;Inputs!$B$20,0,IF(E29&lt;Inputs!$B$7,(E29*Inputs!$B$9),IF(Inputs!$B$16=Inputs!$B$13,(E29*Inputs!$B$8)-(Inputs!$B$7*(Inputs!$B$8-Inputs!$B$9)),IF(Inputs!$B$16=Inputs!$B$14,(Inputs!$B$7*Inputs!$B$9),IF(Inputs!$B$16=Inputs!$B$15,(Inputs!$B$7*Inputs!$B$9),0)))))</f>
        <v>24629.595210526106</v>
      </c>
      <c r="H29" s="18">
        <f>IF(D29&gt;Inputs!$B$20,0,IF(E29&lt;Inputs!$B$7,(E29*Inputs!$B$8),IF(Inputs!$B$16=Inputs!$B$13,(E29*Inputs!$B$8),IF(Inputs!$B$16=Inputs!$B$14,(E29*Inputs!$B$8),IF(Inputs!$B$16=Inputs!$B$15,(Inputs!$B$7*Inputs!$B$8),0)))))</f>
        <v>25879.095210526106</v>
      </c>
      <c r="I29" s="18">
        <f t="shared" si="0"/>
        <v>12500</v>
      </c>
      <c r="J29" s="17">
        <f>IF(D29&gt;Inputs!$B$20,0,IF(E29&lt;Inputs!$B$7,(E29*Inputs!$B$8)+(E29*Inputs!$B$9),IF(Inputs!$B$16=Inputs!$B$13,(E29*Inputs!$B$8)+(E29*Inputs!$B$8)-(Inputs!$B$7*(Inputs!$B$8-Inputs!$B$9)),IF(Inputs!$B$16=Inputs!$B$14,(E29*Inputs!$B$8)+(Inputs!$B$7*Inputs!$B$9),IF(Inputs!$B$16=Inputs!$B$15,(Inputs!$B$7*Inputs!$B$8)+(Inputs!$B$7*Inputs!$B$9),0)))))</f>
        <v>50508.69042105221</v>
      </c>
      <c r="L29" s="33">
        <f>IF(A29=123,IF(C29&gt;=Inputs!$B$19,"",L28+12*J29),0)</f>
        <v>11319536.453473505</v>
      </c>
      <c r="M29" s="28"/>
      <c r="N29" s="33">
        <f>IF(A29=123,IF(C29&gt;=Inputs!$B$19,"",N28+(N28+12*J29+L28)*(Inputs!$B$11)),0)</f>
        <v>27729254.144123204</v>
      </c>
      <c r="O29" s="35">
        <f>IF(A29=123,IF(C29&gt;=Inputs!$B$19,"",P28),0)</f>
        <v>35284328.249503225</v>
      </c>
      <c r="P29" s="35">
        <f>IF(A29=123,IF(C29&gt;=Inputs!$B$19,"",(P28+12*J29)*(1+Inputs!$B$11)),0)</f>
        <v>39048790.59759677</v>
      </c>
      <c r="Q29" s="44">
        <f>IF(C29&gt;=Inputs!$B$19,"",R28)</f>
        <v>39764774.624401815</v>
      </c>
      <c r="R29" s="44">
        <f>IF(C29&gt;=Inputs!$B$19,"",(R28+12*J29)*(1+Inputs!$B$11))</f>
        <v>43923516.25348644</v>
      </c>
      <c r="S29" s="17">
        <f>IF(C29&gt;=Inputs!$B$19,"",T28)</f>
        <v>4480446.374898579</v>
      </c>
      <c r="T29" s="17">
        <f>IF(A29=123,IF(C29&gt;=Inputs!$B$19,"",(T28)*(1+Inputs!$B$11)),IF(C28&gt;=Inputs!$B$19,"",(T28+12*J29)*(1+Inputs!$B$11)))</f>
        <v>4874725.6558896545</v>
      </c>
      <c r="U29" s="55">
        <f>IF(C28&gt;=Inputs!$B$19,"",V28)</f>
        <v>14274001.616895663</v>
      </c>
      <c r="V29" s="56">
        <f>IF(C28&gt;=Inputs!$B$19,NA(),(V28+12*I29)*(1+Inputs!$B$11))</f>
        <v>15693313.759182483</v>
      </c>
      <c r="W29" s="55">
        <f>IF(C28&gt;=Inputs!$B$19,NA(),IF(D29&lt;57,T29-V29,IF(D29&lt;58,90%*T29,T29)))</f>
        <v>4387253.090300689</v>
      </c>
      <c r="X29" s="57">
        <f>IF(E29&lt;Inputs!$B$7,Inputs!$B$10*(Inputs!$B$8-Inputs!$B$9),Inputs!$B$7*(Inputs!$B$8-Inputs!$B$9))</f>
        <v>1249.4999999999998</v>
      </c>
      <c r="Y29" s="58">
        <f>IF(C28&gt;=Inputs!$B$19,NA(),W29/T29)</f>
        <v>0.9</v>
      </c>
      <c r="Z29" s="11">
        <f>IF(C28&gt;=Inputs!$B$19,"",AA28)</f>
        <v>389843.99999999994</v>
      </c>
      <c r="AA29" s="11">
        <f>IF(C28&gt;=Inputs!$B$19,"",AA28+12*X29)</f>
        <v>404837.99999999994</v>
      </c>
      <c r="AB29" s="11">
        <f>IF(C28&gt;=Inputs!$B$19,"",12*IF(E29&lt;Inputs!$B$7,1.61%*E29,1.61%*Inputs!$B$7))</f>
        <v>2898</v>
      </c>
      <c r="AE29" s="17"/>
      <c r="AK29" s="22">
        <f t="shared" si="1"/>
        <v>-606104.2850526265</v>
      </c>
      <c r="AL29" s="96">
        <f>IF(C28=58,'efective tax rates'!$K$7,IF(C28&lt;58,-12*J29,""))</f>
        <v>-606104.2850526265</v>
      </c>
    </row>
    <row r="30" spans="1:38" ht="14.25">
      <c r="A30" s="51">
        <f>IF(A29=123,123,IF(B30=Inputs!$B$3,123,""))</f>
        <v>123</v>
      </c>
      <c r="B30" s="17">
        <f>IF(B29&gt;=Inputs!$B$19,"",B29+1)</f>
        <v>28</v>
      </c>
      <c r="C30" s="19">
        <f>IF(C29&gt;=Inputs!$B$19,"",C29+1)</f>
        <v>58</v>
      </c>
      <c r="D30" s="7">
        <f>IF(C29&gt;=Inputs!$B$19,NA(),D29+1)</f>
        <v>58</v>
      </c>
      <c r="E30" s="13">
        <f>IF(C29&gt;=Inputs!$B$19,"",E29*(1+Inputs!$B$18))</f>
        <v>222128.90055701576</v>
      </c>
      <c r="F30" s="18">
        <f>IF(C30&gt;=Inputs!$B$19,"",12*I30)</f>
        <v>150000</v>
      </c>
      <c r="G30" s="18">
        <f>IF(D30&gt;Inputs!$B$20,0,IF(E30&lt;Inputs!$B$7,(E30*Inputs!$B$9),IF(Inputs!$B$16=Inputs!$B$13,(E30*Inputs!$B$8)-(Inputs!$B$7*(Inputs!$B$8-Inputs!$B$9)),IF(Inputs!$B$16=Inputs!$B$14,(Inputs!$B$7*Inputs!$B$9),IF(Inputs!$B$16=Inputs!$B$15,(Inputs!$B$7*Inputs!$B$9),0)))))</f>
        <v>25405.96806684189</v>
      </c>
      <c r="H30" s="18">
        <f>IF(D30&gt;Inputs!$B$20,0,IF(E30&lt;Inputs!$B$7,(E30*Inputs!$B$8),IF(Inputs!$B$16=Inputs!$B$13,(E30*Inputs!$B$8),IF(Inputs!$B$16=Inputs!$B$14,(E30*Inputs!$B$8),IF(Inputs!$B$16=Inputs!$B$15,(Inputs!$B$7*Inputs!$B$8),0)))))</f>
        <v>26655.46806684189</v>
      </c>
      <c r="I30" s="18">
        <f t="shared" si="0"/>
        <v>12500</v>
      </c>
      <c r="J30" s="17">
        <f>IF(D30&gt;Inputs!$B$20,0,IF(E30&lt;Inputs!$B$7,(E30*Inputs!$B$8)+(E30*Inputs!$B$9),IF(Inputs!$B$16=Inputs!$B$13,(E30*Inputs!$B$8)+(E30*Inputs!$B$8)-(Inputs!$B$7*(Inputs!$B$8-Inputs!$B$9)),IF(Inputs!$B$16=Inputs!$B$14,(E30*Inputs!$B$8)+(Inputs!$B$7*Inputs!$B$9),IF(Inputs!$B$16=Inputs!$B$15,(Inputs!$B$7*Inputs!$B$8)+(Inputs!$B$7*Inputs!$B$9),0)))))</f>
        <v>52061.43613368378</v>
      </c>
      <c r="L30" s="33">
        <f>IF(A30=123,IF(C30&gt;=Inputs!$B$19,"",L29+12*J30),0)</f>
        <v>11944273.68707771</v>
      </c>
      <c r="M30" s="28"/>
      <c r="N30" s="33">
        <f>IF(A30=123,IF(C30&gt;=Inputs!$B$19,"",N29+(N29+12*J30+L29)*(Inputs!$B$11)),0)</f>
        <v>31220524.593268886</v>
      </c>
      <c r="O30" s="35">
        <f>IF(A30=123,IF(C30&gt;=Inputs!$B$19,"",P29),0)</f>
        <v>39048790.59759677</v>
      </c>
      <c r="P30" s="35">
        <f>IF(A30=123,IF(C30&gt;=Inputs!$B$19,"",(P29+12*J30)*(1+Inputs!$B$11)),0)</f>
        <v>43164798.28034667</v>
      </c>
      <c r="Q30" s="44">
        <f>IF(C30&gt;=Inputs!$B$19,"",R29)</f>
        <v>43923516.25348644</v>
      </c>
      <c r="R30" s="44">
        <f>IF(C30&gt;=Inputs!$B$19,"",(R29+12*J30)*(1+Inputs!$B$11))</f>
        <v>48468499.793954626</v>
      </c>
      <c r="S30" s="17">
        <f>IF(C30&gt;=Inputs!$B$19,"",T29)</f>
        <v>4874725.6558896545</v>
      </c>
      <c r="T30" s="17">
        <f>IF(A30=123,IF(C30&gt;=Inputs!$B$19,"",(T29)*(1+Inputs!$B$11)),IF(C29&gt;=Inputs!$B$19,"",(T29+12*J30)*(1+Inputs!$B$11)))</f>
        <v>5303701.513607944</v>
      </c>
      <c r="U30" s="55">
        <f>IF(C29&gt;=Inputs!$B$19,"",V29)</f>
        <v>15693313.759182483</v>
      </c>
      <c r="V30" s="56">
        <f>IF(C29&gt;=Inputs!$B$19,NA(),(V29+12*I30)*(1+Inputs!$B$11))</f>
        <v>17237525.369990543</v>
      </c>
      <c r="W30" s="55">
        <f>IF(C29&gt;=Inputs!$B$19,NA(),IF(D30&lt;57,T30-V30,IF(D30&lt;58,90%*T30,T30)))</f>
        <v>5303701.513607944</v>
      </c>
      <c r="X30" s="57">
        <f>IF(E30&lt;Inputs!$B$7,Inputs!$B$10*(Inputs!$B$8-Inputs!$B$9),Inputs!$B$7*(Inputs!$B$8-Inputs!$B$9))</f>
        <v>1249.4999999999998</v>
      </c>
      <c r="Y30" s="58">
        <f>IF(C29&gt;=Inputs!$B$19,NA(),W30/T30)</f>
        <v>1</v>
      </c>
      <c r="Z30" s="11">
        <f>IF(C29&gt;=Inputs!$B$19,"",AA29)</f>
        <v>404837.99999999994</v>
      </c>
      <c r="AA30" s="11">
        <f>IF(C29&gt;=Inputs!$B$19,"",AA29+12*X30)</f>
        <v>419831.99999999994</v>
      </c>
      <c r="AB30" s="11">
        <f>IF(C29&gt;=Inputs!$B$19,"",12*IF(E30&lt;Inputs!$B$7,1.61%*E30,1.61%*Inputs!$B$7))</f>
        <v>2898</v>
      </c>
      <c r="AE30" s="17"/>
      <c r="AK30" s="22">
        <f t="shared" si="1"/>
        <v>-624737.2336042054</v>
      </c>
      <c r="AL30" s="96">
        <f>IF(C29=58,'efective tax rates'!$K$7,IF(C29&lt;58,-12*J30,""))</f>
        <v>-624737.2336042054</v>
      </c>
    </row>
    <row r="31" spans="1:38" ht="14.25">
      <c r="A31" s="51">
        <f>IF(A30=123,123,IF(B31=Inputs!$B$3,123,""))</f>
        <v>123</v>
      </c>
      <c r="B31" s="17">
        <f>IF(B30&gt;=Inputs!$B$19,"",B30+1)</f>
        <v>29</v>
      </c>
      <c r="C31" s="19">
        <f>IF(C30&gt;=Inputs!$B$19,"",C30+1)</f>
        <v>59</v>
      </c>
      <c r="D31" s="7">
        <f>IF(C30&gt;=Inputs!$B$19,NA(),D30+1)</f>
        <v>59</v>
      </c>
      <c r="E31" s="13">
        <f>IF(C30&gt;=Inputs!$B$19,"",E30*(1+Inputs!$B$18))</f>
        <v>228792.76757372625</v>
      </c>
      <c r="F31" s="18">
        <f>IF(C31&gt;=Inputs!$B$19,"",12*I31)</f>
        <v>150000</v>
      </c>
      <c r="G31" s="18">
        <f>IF(D31&gt;Inputs!$B$20,0,IF(E31&lt;Inputs!$B$7,(E31*Inputs!$B$9),IF(Inputs!$B$16=Inputs!$B$13,(E31*Inputs!$B$8)-(Inputs!$B$7*(Inputs!$B$8-Inputs!$B$9)),IF(Inputs!$B$16=Inputs!$B$14,(Inputs!$B$7*Inputs!$B$9),IF(Inputs!$B$16=Inputs!$B$15,(Inputs!$B$7*Inputs!$B$9),0)))))</f>
        <v>26205.63210884715</v>
      </c>
      <c r="H31" s="18">
        <f>IF(D31&gt;Inputs!$B$20,0,IF(E31&lt;Inputs!$B$7,(E31*Inputs!$B$8),IF(Inputs!$B$16=Inputs!$B$13,(E31*Inputs!$B$8),IF(Inputs!$B$16=Inputs!$B$14,(E31*Inputs!$B$8),IF(Inputs!$B$16=Inputs!$B$15,(Inputs!$B$7*Inputs!$B$8),0)))))</f>
        <v>27455.13210884715</v>
      </c>
      <c r="I31" s="18">
        <f t="shared" si="0"/>
        <v>12500</v>
      </c>
      <c r="J31" s="17">
        <f>IF(D31&gt;Inputs!$B$20,0,IF(E31&lt;Inputs!$B$7,(E31*Inputs!$B$8)+(E31*Inputs!$B$9),IF(Inputs!$B$16=Inputs!$B$13,(E31*Inputs!$B$8)+(E31*Inputs!$B$8)-(Inputs!$B$7*(Inputs!$B$8-Inputs!$B$9)),IF(Inputs!$B$16=Inputs!$B$14,(E31*Inputs!$B$8)+(Inputs!$B$7*Inputs!$B$9),IF(Inputs!$B$16=Inputs!$B$15,(Inputs!$B$7*Inputs!$B$8)+(Inputs!$B$7*Inputs!$B$9),0)))))</f>
        <v>53660.7642176943</v>
      </c>
      <c r="L31" s="33">
        <f>IF(A31=123,IF(C31&gt;=Inputs!$B$19,"",L30+12*J31),0)</f>
        <v>12588202.857690042</v>
      </c>
      <c r="M31" s="28"/>
      <c r="N31" s="33">
        <f>IF(A31=123,IF(C31&gt;=Inputs!$B$19,"",N30+(N30+12*J31+L30)*(Inputs!$B$11)),0)</f>
        <v>35075692.608953275</v>
      </c>
      <c r="O31" s="35">
        <f>IF(A31=123,IF(C31&gt;=Inputs!$B$19,"",P30),0)</f>
        <v>43164798.28034667</v>
      </c>
      <c r="P31" s="35">
        <f>IF(A31=123,IF(C31&gt;=Inputs!$B$19,"",(P30+12*J31)*(1+Inputs!$B$11)),0)</f>
        <v>47663895.4666434</v>
      </c>
      <c r="Q31" s="44">
        <f>IF(C31&gt;=Inputs!$B$19,"",R30)</f>
        <v>48468499.793954626</v>
      </c>
      <c r="R31" s="44">
        <f>IF(C31&gt;=Inputs!$B$19,"",(R30+12*J31)*(1+Inputs!$B$11))</f>
        <v>53434322.71344886</v>
      </c>
      <c r="S31" s="17">
        <f>IF(C31&gt;=Inputs!$B$19,"",T30)</f>
        <v>5303701.513607944</v>
      </c>
      <c r="T31" s="17">
        <f>IF(A31=123,IF(C31&gt;=Inputs!$B$19,"",(T30)*(1+Inputs!$B$11)),IF(C30&gt;=Inputs!$B$19,"",(T30+12*J31)*(1+Inputs!$B$11)))</f>
        <v>5770427.246805443</v>
      </c>
      <c r="U31" s="55">
        <f>IF(C30&gt;=Inputs!$B$19,"",V30)</f>
        <v>17237525.369990543</v>
      </c>
      <c r="V31" s="56">
        <f>IF(C30&gt;=Inputs!$B$19,NA(),(V30+12*I31)*(1+Inputs!$B$11))</f>
        <v>18917627.602549713</v>
      </c>
      <c r="W31" s="55">
        <f>IF(C30&gt;=Inputs!$B$19,NA(),IF(D31&lt;57,T31-V31,IF(D31&lt;58,90%*T31,T31)))</f>
        <v>5770427.246805443</v>
      </c>
      <c r="X31" s="57">
        <f>IF(E31&lt;Inputs!$B$7,Inputs!$B$10*(Inputs!$B$8-Inputs!$B$9),Inputs!$B$7*(Inputs!$B$8-Inputs!$B$9))</f>
        <v>1249.4999999999998</v>
      </c>
      <c r="Y31" s="58">
        <f>IF(C30&gt;=Inputs!$B$19,NA(),W31/T31)</f>
        <v>1</v>
      </c>
      <c r="Z31" s="11">
        <f>IF(C30&gt;=Inputs!$B$19,"",AA30)</f>
        <v>419831.99999999994</v>
      </c>
      <c r="AA31" s="11">
        <f>IF(C30&gt;=Inputs!$B$19,"",AA30+12*X31)</f>
        <v>434825.99999999994</v>
      </c>
      <c r="AB31" s="11">
        <f>IF(C30&gt;=Inputs!$B$19,"",12*IF(E31&lt;Inputs!$B$7,1.61%*E31,1.61%*Inputs!$B$7))</f>
        <v>2898</v>
      </c>
      <c r="AE31" s="17"/>
      <c r="AK31" s="22">
        <f t="shared" si="1"/>
        <v>-643929.1706123316</v>
      </c>
      <c r="AL31" s="96">
        <f>IF(C30=58,'efective tax rates'!$K$7,IF(C30&lt;58,-12*J31,""))</f>
        <v>42680214.53436249</v>
      </c>
    </row>
    <row r="32" spans="1:38" ht="14.25">
      <c r="A32" s="51">
        <f>IF(A31=123,123,IF(B32=Inputs!$B$3,123,""))</f>
        <v>123</v>
      </c>
      <c r="B32" s="17">
        <f>IF(B31&gt;=Inputs!$B$19,"",B31+1)</f>
        <v>30</v>
      </c>
      <c r="C32" s="19">
        <f>IF(C31&gt;=Inputs!$B$19,"",C31+1)</f>
        <v>60</v>
      </c>
      <c r="D32" s="7">
        <f>IF(C31&gt;=Inputs!$B$19,NA(),D31+1)</f>
        <v>60</v>
      </c>
      <c r="E32" s="13">
        <f>IF(C31&gt;=Inputs!$B$19,"",E31*(1+Inputs!$B$18))</f>
        <v>235656.55060093803</v>
      </c>
      <c r="F32" s="18">
        <f>IF(C32&gt;=Inputs!$B$19,"",12*I32)</f>
      </c>
      <c r="G32" s="18">
        <f>IF(D32&gt;Inputs!$B$20,0,IF(E32&lt;Inputs!$B$7,(E32*Inputs!$B$9),IF(Inputs!$B$16=Inputs!$B$13,(E32*Inputs!$B$8)-(Inputs!$B$7*(Inputs!$B$8-Inputs!$B$9)),IF(Inputs!$B$16=Inputs!$B$14,(Inputs!$B$7*Inputs!$B$9),IF(Inputs!$B$16=Inputs!$B$15,(Inputs!$B$7*Inputs!$B$9),0)))))</f>
        <v>27029.28607211256</v>
      </c>
      <c r="H32" s="18">
        <f>IF(D32&gt;Inputs!$B$20,0,IF(E32&lt;Inputs!$B$7,(E32*Inputs!$B$8),IF(Inputs!$B$16=Inputs!$B$13,(E32*Inputs!$B$8),IF(Inputs!$B$16=Inputs!$B$14,(E32*Inputs!$B$8),IF(Inputs!$B$16=Inputs!$B$15,(Inputs!$B$7*Inputs!$B$8),0)))))</f>
        <v>28278.78607211256</v>
      </c>
      <c r="I32" s="18">
        <f t="shared" si="0"/>
        <v>12500</v>
      </c>
      <c r="J32" s="17">
        <f>IF(D32&gt;Inputs!$B$20,0,IF(E32&lt;Inputs!$B$7,(E32*Inputs!$B$8)+(E32*Inputs!$B$9),IF(Inputs!$B$16=Inputs!$B$13,(E32*Inputs!$B$8)+(E32*Inputs!$B$8)-(Inputs!$B$7*(Inputs!$B$8-Inputs!$B$9)),IF(Inputs!$B$16=Inputs!$B$14,(E32*Inputs!$B$8)+(Inputs!$B$7*Inputs!$B$9),IF(Inputs!$B$16=Inputs!$B$15,(Inputs!$B$7*Inputs!$B$8)+(Inputs!$B$7*Inputs!$B$9),0)))))</f>
        <v>55308.07214422512</v>
      </c>
      <c r="L32" s="33">
        <f>IF(A32=123,IF(C32&gt;=Inputs!$B$19,"",L31+12*J32),0)</f>
      </c>
      <c r="M32" s="28"/>
      <c r="N32" s="33">
        <f>IF(A32=123,IF(C32&gt;=Inputs!$B$19,"",N31+(N31+12*J32+L31)*(Inputs!$B$11)),0)</f>
      </c>
      <c r="O32" s="35">
        <f>IF(A32=123,IF(C32&gt;=Inputs!$B$19,"",P31),0)</f>
      </c>
      <c r="P32" s="35">
        <f>IF(A32=123,IF(C32&gt;=Inputs!$B$19,"",(P31+12*J32)*(1+Inputs!$B$11)),0)</f>
      </c>
      <c r="Q32" s="44">
        <f>IF(C32&gt;=Inputs!$B$19,"",R31)</f>
      </c>
      <c r="R32" s="44">
        <f>IF(C32&gt;=Inputs!$B$19,"",(R31+12*J32)*(1+Inputs!$B$11))</f>
      </c>
      <c r="S32" s="17">
        <f>IF(C32&gt;=Inputs!$B$19,"",T31)</f>
      </c>
      <c r="T32" s="17">
        <f>IF(A32=123,IF(C32&gt;=Inputs!$B$19,"",(T31)*(1+Inputs!$B$11)),IF(C31&gt;=Inputs!$B$19,"",(T31+12*J32)*(1+Inputs!$B$11)))</f>
      </c>
      <c r="U32" s="55">
        <f>IF(C31&gt;=Inputs!$B$19,"",V31)</f>
        <v>18917627.602549713</v>
      </c>
      <c r="V32" s="56">
        <f>IF(C31&gt;=Inputs!$B$19,NA(),(V31+12*I32)*(1+Inputs!$B$11))</f>
        <v>20745578.83157409</v>
      </c>
      <c r="W32" s="55">
        <f>IF(C31&gt;=Inputs!$B$19,NA(),IF(D32&lt;57,T32-V32,IF(D32&lt;58,90%*T32,T32)))</f>
      </c>
      <c r="X32" s="57">
        <f>IF(E32&lt;Inputs!$B$7,Inputs!$B$10*(Inputs!$B$8-Inputs!$B$9),Inputs!$B$7*(Inputs!$B$8-Inputs!$B$9))</f>
        <v>1249.4999999999998</v>
      </c>
      <c r="Y32" s="58" t="e">
        <f>IF(C31&gt;=Inputs!$B$19,NA(),W32/T32)</f>
        <v>#VALUE!</v>
      </c>
      <c r="Z32" s="11">
        <f>IF(C31&gt;=Inputs!$B$19,"",AA31)</f>
        <v>434825.99999999994</v>
      </c>
      <c r="AA32" s="11">
        <f>IF(C31&gt;=Inputs!$B$19,"",AA31+12*X32)</f>
        <v>449819.99999999994</v>
      </c>
      <c r="AB32" s="11">
        <f>IF(C31&gt;=Inputs!$B$19,"",12*IF(E32&lt;Inputs!$B$7,1.61%*E32,1.61%*Inputs!$B$7))</f>
        <v>2898</v>
      </c>
      <c r="AE32" s="17"/>
      <c r="AK32" s="22">
        <f t="shared" si="1"/>
        <v>-663696.8657307015</v>
      </c>
      <c r="AL32" s="96">
        <f>IF(C31=58,'efective tax rates'!$K$7,IF(C31&lt;58,-12*J32,""))</f>
      </c>
    </row>
    <row r="33" spans="1:38" ht="14.25">
      <c r="A33" s="51">
        <f>IF(A32=123,123,IF(B33=Inputs!$B$3,123,""))</f>
        <v>123</v>
      </c>
      <c r="B33" s="17">
        <f>IF(B32&gt;=Inputs!$B$19,"",B32+1)</f>
        <v>31</v>
      </c>
      <c r="C33" s="19">
        <f>IF(C32&gt;=Inputs!$B$19,"",C32+1)</f>
      </c>
      <c r="D33" s="7" t="e">
        <f>IF(C32&gt;=Inputs!$B$19,NA(),D32+1)</f>
        <v>#N/A</v>
      </c>
      <c r="E33" s="13">
        <f>IF(C32&gt;=Inputs!$B$19,"",E32*(1+Inputs!$B$18))</f>
      </c>
      <c r="F33" s="18">
        <f>IF(C33&gt;=Inputs!$B$19,"",12*I33)</f>
      </c>
      <c r="G33" s="18" t="e">
        <f>IF(D33&gt;Inputs!$B$20,0,IF(E33&lt;Inputs!$B$7,(E33*Inputs!$B$9),IF(Inputs!$B$16=Inputs!$B$13,(E33*Inputs!$B$8)-(Inputs!$B$7*(Inputs!$B$8-Inputs!$B$9)),IF(Inputs!$B$16=Inputs!$B$14,(Inputs!$B$7*Inputs!$B$9),IF(Inputs!$B$16=Inputs!$B$15,(Inputs!$B$7*Inputs!$B$9),0)))))</f>
        <v>#N/A</v>
      </c>
      <c r="H33" s="18" t="e">
        <f>IF(D33&gt;Inputs!$B$20,0,IF(E33&lt;Inputs!$B$7,(E33*Inputs!$B$8),IF(Inputs!$B$16=Inputs!$B$13,(E33*Inputs!$B$8),IF(Inputs!$B$16=Inputs!$B$14,(E33*Inputs!$B$8),IF(Inputs!$B$16=Inputs!$B$15,(Inputs!$B$7*Inputs!$B$8),0)))))</f>
        <v>#N/A</v>
      </c>
      <c r="I33" s="18" t="e">
        <f t="shared" si="0"/>
        <v>#N/A</v>
      </c>
      <c r="J33" s="17" t="e">
        <f>IF(D33&gt;Inputs!$B$20,0,IF(E33&lt;Inputs!$B$7,(E33*Inputs!$B$8)+(E33*Inputs!$B$9),IF(Inputs!$B$16=Inputs!$B$13,(E33*Inputs!$B$8)+(E33*Inputs!$B$8)-(Inputs!$B$7*(Inputs!$B$8-Inputs!$B$9)),IF(Inputs!$B$16=Inputs!$B$14,(E33*Inputs!$B$8)+(Inputs!$B$7*Inputs!$B$9),IF(Inputs!$B$16=Inputs!$B$15,(Inputs!$B$7*Inputs!$B$8)+(Inputs!$B$7*Inputs!$B$9),0)))))</f>
        <v>#N/A</v>
      </c>
      <c r="L33" s="33">
        <f>IF(A33=123,IF(C33&gt;=Inputs!$B$19,"",L32+12*J33),0)</f>
      </c>
      <c r="M33" s="28"/>
      <c r="N33" s="33">
        <f>IF(A33=123,IF(C33&gt;=Inputs!$B$19,"",N32+(N32+12*J33+L32)*(Inputs!$B$11)),0)</f>
      </c>
      <c r="O33" s="35">
        <f>IF(A33=123,IF(C33&gt;=Inputs!$B$19,"",P32),0)</f>
      </c>
      <c r="P33" s="35">
        <f>IF(A33=123,IF(C33&gt;=Inputs!$B$19,"",(P32+12*J33)*(1+Inputs!$B$11)),0)</f>
      </c>
      <c r="Q33" s="44">
        <f>IF(C33&gt;=Inputs!$B$19,"",R32)</f>
      </c>
      <c r="R33" s="44">
        <f>IF(C33&gt;=Inputs!$B$19,"",(R32+12*J33)*(1+Inputs!$B$11))</f>
      </c>
      <c r="S33" s="17">
        <f>IF(C33&gt;=Inputs!$B$19,"",T32)</f>
      </c>
      <c r="T33" s="17">
        <f>IF(A33=123,IF(C33&gt;=Inputs!$B$19,"",(T32)*(1+Inputs!$B$11)),IF(C32&gt;=Inputs!$B$19,"",(T32+12*J33)*(1+Inputs!$B$11)))</f>
      </c>
      <c r="U33" s="55">
        <f>IF(C32&gt;=Inputs!$B$19,"",V32)</f>
      </c>
      <c r="V33" s="56" t="e">
        <f>IF(C32&gt;=Inputs!$B$19,NA(),(V32+12*I33)*(1+Inputs!$B$11))</f>
        <v>#N/A</v>
      </c>
      <c r="W33" s="55" t="e">
        <f>IF(C32&gt;=Inputs!$B$19,NA(),IF(D33&lt;57,T33-V33,IF(D33&lt;58,90%*T33,T33)))</f>
        <v>#N/A</v>
      </c>
      <c r="X33" s="57">
        <f>IF(E33&lt;Inputs!$B$7,Inputs!$B$10*(Inputs!$B$8-Inputs!$B$9),Inputs!$B$7*(Inputs!$B$8-Inputs!$B$9))</f>
        <v>1249.4999999999998</v>
      </c>
      <c r="Y33" s="58" t="e">
        <f>IF(C32&gt;=Inputs!$B$19,NA(),W33/T33)</f>
        <v>#N/A</v>
      </c>
      <c r="Z33" s="11">
        <f>IF(C32&gt;=Inputs!$B$19,"",AA32)</f>
      </c>
      <c r="AA33" s="11">
        <f>IF(C32&gt;=Inputs!$B$19,"",AA32+12*X33)</f>
      </c>
      <c r="AB33" s="11">
        <f>IF(C32&gt;=Inputs!$B$19,"",12*IF(E33&lt;Inputs!$B$7,1.61%*E33,1.61%*Inputs!$B$7))</f>
      </c>
      <c r="AE33" s="17"/>
      <c r="AK33" s="22" t="e">
        <f t="shared" si="1"/>
        <v>#N/A</v>
      </c>
      <c r="AL33" s="96">
        <f>IF(C32=58,'efective tax rates'!$K$7,IF(C32&lt;58,-12*J33,""))</f>
      </c>
    </row>
    <row r="34" spans="1:38" ht="14.25">
      <c r="A34" s="51">
        <f>IF(A33=123,123,IF(B34=Inputs!$B$3,123,""))</f>
        <v>123</v>
      </c>
      <c r="B34" s="17">
        <f>IF(B33&gt;=Inputs!$B$19,"",B33+1)</f>
        <v>32</v>
      </c>
      <c r="C34" s="19">
        <f>IF(C33&gt;=Inputs!$B$19,"",C33+1)</f>
      </c>
      <c r="D34" s="7" t="e">
        <f>IF(C33&gt;=Inputs!$B$19,NA(),D33+1)</f>
        <v>#N/A</v>
      </c>
      <c r="E34" s="13">
        <f>IF(C33&gt;=Inputs!$B$19,"",E33*(1+Inputs!$B$18))</f>
      </c>
      <c r="F34" s="18">
        <f>IF(C34&gt;=Inputs!$B$19,"",12*I34)</f>
      </c>
      <c r="G34" s="18" t="e">
        <f>IF(D34&gt;Inputs!$B$20,0,IF(E34&lt;Inputs!$B$7,(E34*Inputs!$B$9),IF(Inputs!$B$16=Inputs!$B$13,(E34*Inputs!$B$8)-(Inputs!$B$7*(Inputs!$B$8-Inputs!$B$9)),IF(Inputs!$B$16=Inputs!$B$14,(Inputs!$B$7*Inputs!$B$9),IF(Inputs!$B$16=Inputs!$B$15,(Inputs!$B$7*Inputs!$B$9),0)))))</f>
        <v>#N/A</v>
      </c>
      <c r="H34" s="18" t="e">
        <f>IF(D34&gt;Inputs!$B$20,0,IF(E34&lt;Inputs!$B$7,(E34*Inputs!$B$8),IF(Inputs!$B$16=Inputs!$B$13,(E34*Inputs!$B$8),IF(Inputs!$B$16=Inputs!$B$14,(E34*Inputs!$B$8),IF(Inputs!$B$16=Inputs!$B$15,(Inputs!$B$7*Inputs!$B$8),0)))))</f>
        <v>#N/A</v>
      </c>
      <c r="I34" s="18" t="e">
        <f t="shared" si="0"/>
        <v>#N/A</v>
      </c>
      <c r="J34" s="17" t="e">
        <f>IF(D34&gt;Inputs!$B$20,0,IF(E34&lt;Inputs!$B$7,(E34*Inputs!$B$8)+(E34*Inputs!$B$9),IF(Inputs!$B$16=Inputs!$B$13,(E34*Inputs!$B$8)+(E34*Inputs!$B$8)-(Inputs!$B$7*(Inputs!$B$8-Inputs!$B$9)),IF(Inputs!$B$16=Inputs!$B$14,(E34*Inputs!$B$8)+(Inputs!$B$7*Inputs!$B$9),IF(Inputs!$B$16=Inputs!$B$15,(Inputs!$B$7*Inputs!$B$8)+(Inputs!$B$7*Inputs!$B$9),0)))))</f>
        <v>#N/A</v>
      </c>
      <c r="L34" s="33">
        <f>IF(A34=123,IF(C34&gt;=Inputs!$B$19,"",L33+12*J34),0)</f>
      </c>
      <c r="M34" s="28"/>
      <c r="N34" s="33">
        <f>IF(A34=123,IF(C34&gt;=Inputs!$B$19,"",N33+(N33+12*J34+L33)*(Inputs!$B$11)),0)</f>
      </c>
      <c r="O34" s="35">
        <f>IF(A34=123,IF(C34&gt;=Inputs!$B$19,"",P33),0)</f>
      </c>
      <c r="P34" s="35">
        <f>IF(A34=123,IF(C34&gt;=Inputs!$B$19,"",(P33+12*J34)*(1+Inputs!$B$11)),0)</f>
      </c>
      <c r="Q34" s="44">
        <f>IF(C34&gt;=Inputs!$B$19,"",R33)</f>
      </c>
      <c r="R34" s="44">
        <f>IF(C34&gt;=Inputs!$B$19,"",(R33+12*J34)*(1+Inputs!$B$11))</f>
      </c>
      <c r="S34" s="17">
        <f>IF(C34&gt;=Inputs!$B$19,"",T33)</f>
      </c>
      <c r="T34" s="17">
        <f>IF(A34=123,IF(C34&gt;=Inputs!$B$19,"",(T33)*(1+Inputs!$B$11)),IF(C33&gt;=Inputs!$B$19,"",(T33+12*J34)*(1+Inputs!$B$11)))</f>
      </c>
      <c r="U34" s="55">
        <f>IF(C33&gt;=Inputs!$B$19,"",V33)</f>
      </c>
      <c r="V34" s="56" t="e">
        <f>IF(C33&gt;=Inputs!$B$19,NA(),(V33+12*I34)*(1+Inputs!$B$11))</f>
        <v>#N/A</v>
      </c>
      <c r="W34" s="55" t="e">
        <f>IF(C33&gt;=Inputs!$B$19,NA(),IF(D34&lt;57,T34-V34,IF(D34&lt;58,90%*T34,T34)))</f>
        <v>#N/A</v>
      </c>
      <c r="X34" s="57">
        <f>IF(E34&lt;Inputs!$B$7,Inputs!$B$10*(Inputs!$B$8-Inputs!$B$9),Inputs!$B$7*(Inputs!$B$8-Inputs!$B$9))</f>
        <v>1249.4999999999998</v>
      </c>
      <c r="Y34" s="58" t="e">
        <f>IF(C33&gt;=Inputs!$B$19,NA(),W34/T34)</f>
        <v>#N/A</v>
      </c>
      <c r="Z34" s="11">
        <f>IF(C33&gt;=Inputs!$B$19,"",AA33)</f>
      </c>
      <c r="AA34" s="11">
        <f>IF(C33&gt;=Inputs!$B$19,"",AA33+12*X34)</f>
      </c>
      <c r="AB34" s="11">
        <f>IF(C33&gt;=Inputs!$B$19,"",12*IF(E34&lt;Inputs!$B$7,1.61%*E34,1.61%*Inputs!$B$7))</f>
      </c>
      <c r="AE34" s="17"/>
      <c r="AK34" s="22" t="e">
        <f t="shared" si="1"/>
        <v>#N/A</v>
      </c>
      <c r="AL34" s="96">
        <f>IF(C33=58,'efective tax rates'!$K$7,IF(C33&lt;58,-12*J34,""))</f>
      </c>
    </row>
    <row r="35" spans="1:38" ht="14.25">
      <c r="A35" s="51">
        <f>IF(A34=123,123,IF(B35=Inputs!$B$3,123,""))</f>
        <v>123</v>
      </c>
      <c r="B35" s="17">
        <f>IF(B34&gt;=Inputs!$B$19,"",B34+1)</f>
        <v>33</v>
      </c>
      <c r="C35" s="19">
        <f>IF(C34&gt;=Inputs!$B$19,"",C34+1)</f>
      </c>
      <c r="D35" s="7" t="e">
        <f>IF(C34&gt;=Inputs!$B$19,NA(),D34+1)</f>
        <v>#N/A</v>
      </c>
      <c r="E35" s="13">
        <f>IF(C34&gt;=Inputs!$B$19,"",E34*(1+Inputs!$B$18))</f>
      </c>
      <c r="F35" s="18">
        <f>IF(C35&gt;=Inputs!$B$19,"",12*I35)</f>
      </c>
      <c r="G35" s="18" t="e">
        <f>IF(D35&gt;Inputs!$B$20,0,IF(E35&lt;Inputs!$B$7,(E35*Inputs!$B$9),IF(Inputs!$B$16=Inputs!$B$13,(E35*Inputs!$B$8)-(Inputs!$B$7*(Inputs!$B$8-Inputs!$B$9)),IF(Inputs!$B$16=Inputs!$B$14,(Inputs!$B$7*Inputs!$B$9),IF(Inputs!$B$16=Inputs!$B$15,(Inputs!$B$7*Inputs!$B$9),0)))))</f>
        <v>#N/A</v>
      </c>
      <c r="H35" s="18" t="e">
        <f>IF(D35&gt;Inputs!$B$20,0,IF(E35&lt;Inputs!$B$7,(E35*Inputs!$B$8),IF(Inputs!$B$16=Inputs!$B$13,(E35*Inputs!$B$8),IF(Inputs!$B$16=Inputs!$B$14,(E35*Inputs!$B$8),IF(Inputs!$B$16=Inputs!$B$15,(Inputs!$B$7*Inputs!$B$8),0)))))</f>
        <v>#N/A</v>
      </c>
      <c r="I35" s="18" t="e">
        <f t="shared" si="0"/>
        <v>#N/A</v>
      </c>
      <c r="J35" s="17" t="e">
        <f>IF(D35&gt;Inputs!$B$20,0,IF(E35&lt;Inputs!$B$7,(E35*Inputs!$B$8)+(E35*Inputs!$B$9),IF(Inputs!$B$16=Inputs!$B$13,(E35*Inputs!$B$8)+(E35*Inputs!$B$8)-(Inputs!$B$7*(Inputs!$B$8-Inputs!$B$9)),IF(Inputs!$B$16=Inputs!$B$14,(E35*Inputs!$B$8)+(Inputs!$B$7*Inputs!$B$9),IF(Inputs!$B$16=Inputs!$B$15,(Inputs!$B$7*Inputs!$B$8)+(Inputs!$B$7*Inputs!$B$9),0)))))</f>
        <v>#N/A</v>
      </c>
      <c r="L35" s="33">
        <f>IF(A35=123,IF(C35&gt;=Inputs!$B$19,"",L34+12*J35),0)</f>
      </c>
      <c r="M35" s="28"/>
      <c r="N35" s="33">
        <f>IF(A35=123,IF(C35&gt;=Inputs!$B$19,"",N34+(N34+12*J35+L34)*(Inputs!$B$11)),0)</f>
      </c>
      <c r="O35" s="35">
        <f>IF(A35=123,IF(C35&gt;=Inputs!$B$19,"",P34),0)</f>
      </c>
      <c r="P35" s="35">
        <f>IF(A35=123,IF(C35&gt;=Inputs!$B$19,"",(P34+12*J35)*(1+Inputs!$B$11)),0)</f>
      </c>
      <c r="Q35" s="44">
        <f>IF(C35&gt;=Inputs!$B$19,"",R34)</f>
      </c>
      <c r="R35" s="44">
        <f>IF(C35&gt;=Inputs!$B$19,"",(R34+12*J35)*(1+Inputs!$B$11))</f>
      </c>
      <c r="S35" s="17">
        <f>IF(C35&gt;=Inputs!$B$19,"",T34)</f>
      </c>
      <c r="T35" s="17">
        <f>IF(A35=123,IF(C35&gt;=Inputs!$B$19,"",(T34)*(1+Inputs!$B$11)),IF(C34&gt;=Inputs!$B$19,"",(T34+12*J35)*(1+Inputs!$B$11)))</f>
      </c>
      <c r="U35" s="55">
        <f>IF(C34&gt;=Inputs!$B$19,"",V34)</f>
      </c>
      <c r="V35" s="56" t="e">
        <f>IF(C34&gt;=Inputs!$B$19,NA(),(V34+12*I35)*(1+Inputs!$B$11))</f>
        <v>#N/A</v>
      </c>
      <c r="W35" s="55" t="e">
        <f>IF(C34&gt;=Inputs!$B$19,NA(),IF(D35&lt;57,T35-V35,IF(D35&lt;58,90%*T35,T35)))</f>
        <v>#N/A</v>
      </c>
      <c r="X35" s="57">
        <f>IF(E35&lt;Inputs!$B$7,Inputs!$B$10*(Inputs!$B$8-Inputs!$B$9),Inputs!$B$7*(Inputs!$B$8-Inputs!$B$9))</f>
        <v>1249.4999999999998</v>
      </c>
      <c r="Y35" s="58" t="e">
        <f>IF(C34&gt;=Inputs!$B$19,NA(),W35/T35)</f>
        <v>#N/A</v>
      </c>
      <c r="Z35" s="11">
        <f>IF(C34&gt;=Inputs!$B$19,"",AA34)</f>
      </c>
      <c r="AA35" s="11">
        <f>IF(C34&gt;=Inputs!$B$19,"",AA34+12*X35)</f>
      </c>
      <c r="AB35" s="11">
        <f>IF(C34&gt;=Inputs!$B$19,"",12*IF(E35&lt;Inputs!$B$7,1.61%*E35,1.61%*Inputs!$B$7))</f>
      </c>
      <c r="AE35" s="17"/>
      <c r="AK35" s="22" t="e">
        <f t="shared" si="1"/>
        <v>#N/A</v>
      </c>
      <c r="AL35" s="96">
        <f>IF(C34=58,'efective tax rates'!$K$7,IF(C34&lt;58,-12*J35,""))</f>
      </c>
    </row>
    <row r="36" spans="1:39" s="42" customFormat="1" ht="14.25">
      <c r="A36" s="52">
        <f>IF(A35=123,123,IF(B36=Inputs!$B$3,123,""))</f>
        <v>123</v>
      </c>
      <c r="B36" s="37">
        <f>IF(B35&gt;=Inputs!$B$19,"",B35+1)</f>
        <v>34</v>
      </c>
      <c r="C36" s="38">
        <f>IF(C35&gt;=Inputs!$B$19,"",C35+1)</f>
      </c>
      <c r="D36" s="39" t="e">
        <f>IF(C35&gt;=Inputs!$B$19,NA(),D35+1)</f>
        <v>#N/A</v>
      </c>
      <c r="E36" s="40">
        <f>IF(C35&gt;=Inputs!$B$19,"",E35*(1+Inputs!$B$18))</f>
      </c>
      <c r="F36" s="41">
        <f>IF(C36&gt;=Inputs!$B$19,"",12*I36)</f>
      </c>
      <c r="G36" s="41" t="e">
        <f>IF(D36&gt;Inputs!$B$20,0,IF(E36&lt;Inputs!$B$7,(E36*Inputs!$B$9),IF(Inputs!$B$16=Inputs!$B$13,(E36*Inputs!$B$8)-(Inputs!$B$7*(Inputs!$B$8-Inputs!$B$9)),IF(Inputs!$B$16=Inputs!$B$14,(Inputs!$B$7*Inputs!$B$9),IF(Inputs!$B$16=Inputs!$B$15,(Inputs!$B$7*Inputs!$B$9),0)))))</f>
        <v>#N/A</v>
      </c>
      <c r="H36" s="41" t="e">
        <f>IF(D36&gt;Inputs!$B$20,0,IF(E36&lt;Inputs!$B$7,(E36*Inputs!$B$8),IF(Inputs!$B$16=Inputs!$B$13,(E36*Inputs!$B$8),IF(Inputs!$B$16=Inputs!$B$14,(E36*Inputs!$B$8),IF(Inputs!$B$16=Inputs!$B$15,(Inputs!$B$7*Inputs!$B$8),0)))))</f>
        <v>#N/A</v>
      </c>
      <c r="I36" s="41" t="e">
        <f t="shared" si="0"/>
        <v>#N/A</v>
      </c>
      <c r="J36" s="37" t="e">
        <f>IF(D36&gt;Inputs!$B$20,0,IF(E36&lt;Inputs!$B$7,(E36*Inputs!$B$8)+(E36*Inputs!$B$9),IF(Inputs!$B$16=Inputs!$B$13,(E36*Inputs!$B$8)+(E36*Inputs!$B$8)-(Inputs!$B$7*(Inputs!$B$8-Inputs!$B$9)),IF(Inputs!$B$16=Inputs!$B$14,(E36*Inputs!$B$8)+(Inputs!$B$7*Inputs!$B$9),IF(Inputs!$B$16=Inputs!$B$15,(Inputs!$B$7*Inputs!$B$8)+(Inputs!$B$7*Inputs!$B$9),0)))))</f>
        <v>#N/A</v>
      </c>
      <c r="L36" s="37">
        <f>IF(A36=123,IF(C36&gt;=Inputs!$B$19,"",L35+12*J36),0)</f>
      </c>
      <c r="M36" s="38"/>
      <c r="N36" s="33">
        <f>IF(A36=123,IF(C36&gt;=Inputs!$B$19,"",N35+(N35+12*J36+L35)*(Inputs!$B$11)),0)</f>
      </c>
      <c r="O36" s="37">
        <f>IF(A36=123,IF(C36&gt;=Inputs!$B$19,"",P35),0)</f>
      </c>
      <c r="P36" s="37">
        <f>IF(A36=123,IF(C36&gt;=Inputs!$B$19,"",(P35+12*J36)*(1+Inputs!$B$11)),0)</f>
      </c>
      <c r="Q36" s="37">
        <f>IF(C36&gt;=Inputs!$B$19,"",R35)</f>
      </c>
      <c r="R36" s="37">
        <f>IF(C36&gt;=Inputs!$B$19,"",(R35+12*J36)*(1+Inputs!$B$11))</f>
      </c>
      <c r="S36" s="37">
        <f>IF(C36&gt;=Inputs!$B$19,"",T35)</f>
      </c>
      <c r="T36" s="37">
        <f>IF(A36=123,IF(C36&gt;=Inputs!$B$19,"",(T35)*(1+Inputs!$B$11)),IF(C35&gt;=Inputs!$B$19,"",(T35+12*J36)*(1+Inputs!$B$11)))</f>
      </c>
      <c r="U36" s="63">
        <f>IF(C35&gt;=Inputs!$B$19,"",V35)</f>
      </c>
      <c r="V36" s="64" t="e">
        <f>IF(C35&gt;=Inputs!$B$19,NA(),(V35+12*I36)*(1+Inputs!$B$11))</f>
        <v>#N/A</v>
      </c>
      <c r="W36" s="63" t="e">
        <f>IF(C35&gt;=Inputs!$B$19,NA(),IF(D36&lt;57,T36-V36,IF(D36&lt;58,90%*T36,T36)))</f>
        <v>#N/A</v>
      </c>
      <c r="X36" s="65">
        <f>IF(E36&lt;Inputs!$B$7,Inputs!$B$10*(Inputs!$B$8-Inputs!$B$9),Inputs!$B$7*(Inputs!$B$8-Inputs!$B$9))</f>
        <v>1249.4999999999998</v>
      </c>
      <c r="Y36" s="66" t="e">
        <f>IF(C35&gt;=Inputs!$B$19,NA(),W36/T36)</f>
        <v>#N/A</v>
      </c>
      <c r="Z36" s="38">
        <f>IF(C35&gt;=Inputs!$B$19,"",AA35)</f>
      </c>
      <c r="AA36" s="38">
        <f>IF(C35&gt;=Inputs!$B$19,"",AA35+12*X36)</f>
      </c>
      <c r="AB36" s="38">
        <f>IF(C35&gt;=Inputs!$B$19,"",12*IF(E36&lt;Inputs!$B$7,1.61%*E36,1.61%*Inputs!$B$7))</f>
      </c>
      <c r="AE36" s="37"/>
      <c r="AK36" s="22" t="e">
        <f t="shared" si="1"/>
        <v>#N/A</v>
      </c>
      <c r="AL36" s="96">
        <f>IF(C35=58,'efective tax rates'!$K$7,IF(C35&lt;58,-12*J36,""))</f>
      </c>
      <c r="AM36" s="97"/>
    </row>
    <row r="37" spans="1:38" ht="14.25">
      <c r="A37" s="51">
        <f>IF(A36=123,123,IF(B37=Inputs!$B$3,123,""))</f>
        <v>123</v>
      </c>
      <c r="B37" s="17">
        <f>IF(B36&gt;=Inputs!$B$19,"",B36+1)</f>
        <v>35</v>
      </c>
      <c r="C37" s="19">
        <f>IF(C36&gt;=Inputs!$B$19,"",C36+1)</f>
      </c>
      <c r="D37" s="7" t="e">
        <f>IF(C36&gt;=Inputs!$B$19,NA(),D36+1)</f>
        <v>#N/A</v>
      </c>
      <c r="E37" s="13">
        <f>IF(C36&gt;=Inputs!$B$19,"",E36*(1+Inputs!$B$18))</f>
      </c>
      <c r="F37" s="18">
        <f>IF(C37&gt;=Inputs!$B$19,"",12*I37)</f>
      </c>
      <c r="G37" s="18" t="e">
        <f>IF(D37&gt;Inputs!$B$20,0,IF(E37&lt;Inputs!$B$7,(E37*Inputs!$B$9),IF(Inputs!$B$16=Inputs!$B$13,(E37*Inputs!$B$8)-(Inputs!$B$7*(Inputs!$B$8-Inputs!$B$9)),IF(Inputs!$B$16=Inputs!$B$14,(Inputs!$B$7*Inputs!$B$9),IF(Inputs!$B$16=Inputs!$B$15,(Inputs!$B$7*Inputs!$B$9),0)))))</f>
        <v>#N/A</v>
      </c>
      <c r="H37" s="18" t="e">
        <f>IF(D37&gt;Inputs!$B$20,0,IF(E37&lt;Inputs!$B$7,(E37*Inputs!$B$8),IF(Inputs!$B$16=Inputs!$B$13,(E37*Inputs!$B$8),IF(Inputs!$B$16=Inputs!$B$14,(E37*Inputs!$B$8),IF(Inputs!$B$16=Inputs!$B$15,(Inputs!$B$7*Inputs!$B$8),0)))))</f>
        <v>#N/A</v>
      </c>
      <c r="I37" s="18" t="e">
        <f t="shared" si="0"/>
        <v>#N/A</v>
      </c>
      <c r="J37" s="17" t="e">
        <f>IF(D37&gt;Inputs!$B$20,0,IF(E37&lt;Inputs!$B$7,(E37*Inputs!$B$8)+(E37*Inputs!$B$9),IF(Inputs!$B$16=Inputs!$B$13,(E37*Inputs!$B$8)+(E37*Inputs!$B$8)-(Inputs!$B$7*(Inputs!$B$8-Inputs!$B$9)),IF(Inputs!$B$16=Inputs!$B$14,(E37*Inputs!$B$8)+(Inputs!$B$7*Inputs!$B$9),IF(Inputs!$B$16=Inputs!$B$15,(Inputs!$B$7*Inputs!$B$8)+(Inputs!$B$7*Inputs!$B$9),0)))))</f>
        <v>#N/A</v>
      </c>
      <c r="L37" s="33">
        <f>IF(A37=123,IF(C37&gt;=Inputs!$B$19,"",L36+12*J37),0)</f>
      </c>
      <c r="M37" s="28"/>
      <c r="N37" s="33">
        <f>IF(A37=123,IF(C37&gt;=Inputs!$B$19,"",N36+(N36+12*J37+L36)*(Inputs!$B$11)),0)</f>
      </c>
      <c r="O37" s="35">
        <f>IF(A37=123,IF(C37&gt;=Inputs!$B$19,"",P36),0)</f>
      </c>
      <c r="P37" s="35">
        <f>IF(A37=123,IF(C37&gt;=Inputs!$B$19,"",(P36+12*J37)*(1+Inputs!$B$11)),0)</f>
      </c>
      <c r="Q37" s="44">
        <f>IF(C37&gt;=Inputs!$B$19,"",R36)</f>
      </c>
      <c r="R37" s="44">
        <f>IF(C37&gt;=Inputs!$B$19,"",(R36+12*J37)*(1+Inputs!$B$11))</f>
      </c>
      <c r="S37" s="17">
        <f>IF(C37&gt;=Inputs!$B$19,"",T36)</f>
      </c>
      <c r="T37" s="17">
        <f>IF(A37=123,IF(C37&gt;=Inputs!$B$19,"",(T36)*(1+Inputs!$B$11)),IF(C36&gt;=Inputs!$B$19,"",(T36+12*J37)*(1+Inputs!$B$11)))</f>
      </c>
      <c r="U37" s="55">
        <f>IF(C36&gt;=Inputs!$B$19,"",V36)</f>
      </c>
      <c r="V37" s="56" t="e">
        <f>IF(C36&gt;=Inputs!$B$19,NA(),(V36+12*I37)*(1+Inputs!$B$11))</f>
        <v>#N/A</v>
      </c>
      <c r="W37" s="55" t="e">
        <f>IF(C36&gt;=Inputs!$B$19,NA(),IF(D37&lt;57,T37-V37,IF(D37&lt;58,90%*T37,T37)))</f>
        <v>#N/A</v>
      </c>
      <c r="X37" s="57">
        <f>IF(E37&lt;Inputs!$B$7,Inputs!$B$10*(Inputs!$B$8-Inputs!$B$9),Inputs!$B$7*(Inputs!$B$8-Inputs!$B$9))</f>
        <v>1249.4999999999998</v>
      </c>
      <c r="Y37" s="58" t="e">
        <f>IF(C36&gt;=Inputs!$B$19,NA(),W37/T37)</f>
        <v>#N/A</v>
      </c>
      <c r="Z37" s="11">
        <f>IF(C36&gt;=Inputs!$B$19,"",AA36)</f>
      </c>
      <c r="AA37" s="11">
        <f>IF(C36&gt;=Inputs!$B$19,"",AA36+12*X37)</f>
      </c>
      <c r="AB37" s="11">
        <f>IF(C36&gt;=Inputs!$B$19,"",12*IF(E37&lt;Inputs!$B$7,1.61%*E37,1.61%*Inputs!$B$7))</f>
      </c>
      <c r="AE37" s="17"/>
      <c r="AK37" s="22">
        <f>IF(C36=58,'efective tax rates'!$K$7,IF(C36&lt;58,-12*J36,""))</f>
      </c>
      <c r="AL37" s="96">
        <f>IF(C36=58,'efective tax rates'!$K$7,IF(C36&lt;58,-12*J37,""))</f>
      </c>
    </row>
    <row r="38" spans="1:38" ht="14.25">
      <c r="A38" s="51">
        <f>IF(A37=123,123,IF(B38=Inputs!$B$3,123,""))</f>
        <v>123</v>
      </c>
      <c r="B38" s="17">
        <f>IF(B37&gt;=Inputs!$B$19,"",B37+1)</f>
        <v>36</v>
      </c>
      <c r="C38" s="19">
        <f>IF(C37&gt;=Inputs!$B$19,"",C37+1)</f>
      </c>
      <c r="D38" s="7" t="e">
        <f>IF(C37&gt;=Inputs!$B$19,NA(),D37+1)</f>
        <v>#N/A</v>
      </c>
      <c r="E38" s="13">
        <f>IF(C37&gt;=Inputs!$B$19,"",E37*(1+Inputs!$B$18))</f>
      </c>
      <c r="F38" s="18">
        <f>IF(C38&gt;=Inputs!$B$19,"",12*I38)</f>
      </c>
      <c r="G38" s="18" t="e">
        <f>IF(D38&gt;Inputs!$B$20,0,IF(E38&lt;Inputs!$B$7,(E38*Inputs!$B$9),IF(Inputs!$B$16=Inputs!$B$13,(E38*Inputs!$B$8)-(Inputs!$B$7*(Inputs!$B$8-Inputs!$B$9)),IF(Inputs!$B$16=Inputs!$B$14,(Inputs!$B$7*Inputs!$B$9),IF(Inputs!$B$16=Inputs!$B$15,(Inputs!$B$7*Inputs!$B$9),0)))))</f>
        <v>#N/A</v>
      </c>
      <c r="H38" s="18" t="e">
        <f>IF(D38&gt;Inputs!$B$20,0,IF(E38&lt;Inputs!$B$7,(E38*Inputs!$B$8),IF(Inputs!$B$16=Inputs!$B$13,(E38*Inputs!$B$8),IF(Inputs!$B$16=Inputs!$B$14,(E38*Inputs!$B$8),IF(Inputs!$B$16=Inputs!$B$15,(Inputs!$B$7*Inputs!$B$8),0)))))</f>
        <v>#N/A</v>
      </c>
      <c r="I38" s="18" t="e">
        <f t="shared" si="0"/>
        <v>#N/A</v>
      </c>
      <c r="J38" s="17" t="e">
        <f>IF(D38&gt;Inputs!$B$20,0,IF(E38&lt;Inputs!$B$7,(E38*Inputs!$B$8)+(E38*Inputs!$B$9),IF(Inputs!$B$16=Inputs!$B$13,(E38*Inputs!$B$8)+(E38*Inputs!$B$8)-(Inputs!$B$7*(Inputs!$B$8-Inputs!$B$9)),IF(Inputs!$B$16=Inputs!$B$14,(E38*Inputs!$B$8)+(Inputs!$B$7*Inputs!$B$9),IF(Inputs!$B$16=Inputs!$B$15,(Inputs!$B$7*Inputs!$B$8)+(Inputs!$B$7*Inputs!$B$9),0)))))</f>
        <v>#N/A</v>
      </c>
      <c r="L38" s="33">
        <f>IF(A38=123,IF(C38&gt;=Inputs!$B$19,"",L37+12*J38),0)</f>
      </c>
      <c r="M38" s="28"/>
      <c r="N38" s="33">
        <f>IF(A38=123,IF(C38&gt;=Inputs!$B$19,"",N37+(N37+12*J38+L37)*(Inputs!$B$11)),0)</f>
      </c>
      <c r="O38" s="35">
        <f>IF(A38=123,IF(C38&gt;=Inputs!$B$19,"",P37),0)</f>
      </c>
      <c r="P38" s="35">
        <f>IF(A38=123,IF(C38&gt;=Inputs!$B$19,"",(P37+12*J38)*(1+Inputs!$B$11)),0)</f>
      </c>
      <c r="Q38" s="44">
        <f>IF(C38&gt;=Inputs!$B$19,"",R37)</f>
      </c>
      <c r="R38" s="44">
        <f>IF(C38&gt;=Inputs!$B$19,"",(R37+12*J38)*(1+Inputs!$B$11))</f>
      </c>
      <c r="S38" s="17">
        <f>IF(C38&gt;=Inputs!$B$19,"",T37)</f>
      </c>
      <c r="T38" s="17">
        <f>IF(A38=123,IF(C38&gt;=Inputs!$B$19,"",(T37)*(1+Inputs!$B$11)),IF(C37&gt;=Inputs!$B$19,"",(T37+12*J38)*(1+Inputs!$B$11)))</f>
      </c>
      <c r="U38" s="55">
        <f>IF(C37&gt;=Inputs!$B$19,"",V37)</f>
      </c>
      <c r="V38" s="56" t="e">
        <f>IF(C37&gt;=Inputs!$B$19,NA(),(V37+12*I38)*(1+Inputs!$B$11))</f>
        <v>#N/A</v>
      </c>
      <c r="W38" s="55" t="e">
        <f>IF(C37&gt;=Inputs!$B$19,NA(),IF(D38&lt;57,T38-V38,IF(D38&lt;58,90%*T38,T38)))</f>
        <v>#N/A</v>
      </c>
      <c r="X38" s="57">
        <f>IF(E38&lt;Inputs!$B$7,Inputs!$B$10*(Inputs!$B$8-Inputs!$B$9),Inputs!$B$7*(Inputs!$B$8-Inputs!$B$9))</f>
        <v>1249.4999999999998</v>
      </c>
      <c r="Y38" s="58" t="e">
        <f>IF(C37&gt;=Inputs!$B$19,NA(),W38/T38)</f>
        <v>#N/A</v>
      </c>
      <c r="Z38" s="11">
        <f>IF(C37&gt;=Inputs!$B$19,"",AA37)</f>
      </c>
      <c r="AA38" s="11">
        <f>IF(C37&gt;=Inputs!$B$19,"",AA37+12*X38)</f>
      </c>
      <c r="AB38" s="11">
        <f>IF(C37&gt;=Inputs!$B$19,"",12*IF(E38&lt;Inputs!$B$7,1.61%*E38,1.61%*Inputs!$B$7))</f>
      </c>
      <c r="AE38" s="17"/>
      <c r="AL38" s="96">
        <f>IF(C37=58,'efective tax rates'!$K$7,IF(C37&lt;58,-12*J38,""))</f>
      </c>
    </row>
    <row r="39" spans="1:38" ht="14.25">
      <c r="A39" s="51">
        <f>IF(A38=123,123,IF(B39=Inputs!$B$3,123,""))</f>
        <v>123</v>
      </c>
      <c r="B39" s="17">
        <f>IF(B38&gt;=Inputs!$B$19,"",B38+1)</f>
        <v>37</v>
      </c>
      <c r="C39" s="19">
        <f>IF(C38&gt;=Inputs!$B$19,"",C38+1)</f>
      </c>
      <c r="D39" s="7" t="e">
        <f>IF(C38&gt;=Inputs!$B$19,NA(),D38+1)</f>
        <v>#N/A</v>
      </c>
      <c r="E39" s="13">
        <f>IF(C38&gt;=Inputs!$B$19,"",E38*(1+Inputs!$B$18))</f>
      </c>
      <c r="F39" s="18">
        <f>IF(C39&gt;=Inputs!$B$19,"",12*I39)</f>
      </c>
      <c r="G39" s="18" t="e">
        <f>IF(D39&gt;Inputs!$B$20,0,IF(E39&lt;Inputs!$B$7,(E39*Inputs!$B$9),IF(Inputs!$B$16=Inputs!$B$13,(E39*Inputs!$B$8)-(Inputs!$B$7*(Inputs!$B$8-Inputs!$B$9)),IF(Inputs!$B$16=Inputs!$B$14,(Inputs!$B$7*Inputs!$B$9),IF(Inputs!$B$16=Inputs!$B$15,(Inputs!$B$7*Inputs!$B$9),0)))))</f>
        <v>#N/A</v>
      </c>
      <c r="H39" s="18" t="e">
        <f>IF(D39&gt;Inputs!$B$20,0,IF(E39&lt;Inputs!$B$7,(E39*Inputs!$B$8),IF(Inputs!$B$16=Inputs!$B$13,(E39*Inputs!$B$8),IF(Inputs!$B$16=Inputs!$B$14,(E39*Inputs!$B$8),IF(Inputs!$B$16=Inputs!$B$15,(Inputs!$B$7*Inputs!$B$8),0)))))</f>
        <v>#N/A</v>
      </c>
      <c r="I39" s="18" t="e">
        <f t="shared" si="0"/>
        <v>#N/A</v>
      </c>
      <c r="J39" s="17" t="e">
        <f>IF(D39&gt;Inputs!$B$20,0,IF(E39&lt;Inputs!$B$7,(E39*Inputs!$B$8)+(E39*Inputs!$B$9),IF(Inputs!$B$16=Inputs!$B$13,(E39*Inputs!$B$8)+(E39*Inputs!$B$8)-(Inputs!$B$7*(Inputs!$B$8-Inputs!$B$9)),IF(Inputs!$B$16=Inputs!$B$14,(E39*Inputs!$B$8)+(Inputs!$B$7*Inputs!$B$9),IF(Inputs!$B$16=Inputs!$B$15,(Inputs!$B$7*Inputs!$B$8)+(Inputs!$B$7*Inputs!$B$9),0)))))</f>
        <v>#N/A</v>
      </c>
      <c r="L39" s="33">
        <f>IF(A39=123,IF(C39&gt;=Inputs!$B$19,"",L38+12*J39),0)</f>
      </c>
      <c r="M39" s="28"/>
      <c r="N39" s="33">
        <f>IF(A39=123,IF(C39&gt;=Inputs!$B$19,"",N38+(N38+12*J39+L38)*(Inputs!$B$11)),0)</f>
      </c>
      <c r="O39" s="35">
        <f>IF(A39=123,IF(C39&gt;=Inputs!$B$19,"",P38),0)</f>
      </c>
      <c r="P39" s="35">
        <f>IF(A39=123,IF(C39&gt;=Inputs!$B$19,"",(P38+12*J39)*(1+Inputs!$B$11)),0)</f>
      </c>
      <c r="Q39" s="44">
        <f>IF(C39&gt;=Inputs!$B$19,"",R38)</f>
      </c>
      <c r="R39" s="44">
        <f>IF(C39&gt;=Inputs!$B$19,"",(R38+12*J39)*(1+Inputs!$B$11))</f>
      </c>
      <c r="S39" s="17">
        <f>IF(C39&gt;=Inputs!$B$19,"",T38)</f>
      </c>
      <c r="T39" s="17">
        <f>IF(A39=123,IF(C39&gt;=Inputs!$B$19,"",(T38)*(1+Inputs!$B$11)),IF(C38&gt;=Inputs!$B$19,"",(T38+12*J39)*(1+Inputs!$B$11)))</f>
      </c>
      <c r="U39" s="55">
        <f>IF(C38&gt;=Inputs!$B$19,"",V38)</f>
      </c>
      <c r="V39" s="56" t="e">
        <f>IF(C38&gt;=Inputs!$B$19,NA(),(V38+12*I39)*(1+Inputs!$B$11))</f>
        <v>#N/A</v>
      </c>
      <c r="W39" s="55" t="e">
        <f>IF(C38&gt;=Inputs!$B$19,NA(),IF(D39&lt;57,T39-V39,IF(D39&lt;58,90%*T39,T39)))</f>
        <v>#N/A</v>
      </c>
      <c r="X39" s="57">
        <f>IF(E39&lt;Inputs!$B$7,Inputs!$B$10*(Inputs!$B$8-Inputs!$B$9),Inputs!$B$7*(Inputs!$B$8-Inputs!$B$9))</f>
        <v>1249.4999999999998</v>
      </c>
      <c r="Y39" s="58" t="e">
        <f>IF(C38&gt;=Inputs!$B$19,NA(),W39/T39)</f>
        <v>#N/A</v>
      </c>
      <c r="Z39" s="11">
        <f>IF(C38&gt;=Inputs!$B$19,"",AA38)</f>
      </c>
      <c r="AA39" s="11">
        <f>IF(C38&gt;=Inputs!$B$19,"",AA38+12*X39)</f>
      </c>
      <c r="AB39" s="11">
        <f>IF(C38&gt;=Inputs!$B$19,"",12*IF(E39&lt;Inputs!$B$7,1.61%*E39,1.61%*Inputs!$B$7))</f>
      </c>
      <c r="AE39" s="17"/>
      <c r="AL39" s="96">
        <f>IF(C38=58,'efective tax rates'!$K$7,IF(C38&lt;58,-12*J39,""))</f>
      </c>
    </row>
    <row r="40" spans="1:38" ht="14.25">
      <c r="A40" s="51">
        <f>IF(A39=123,123,IF(B40=Inputs!$B$3,123,""))</f>
        <v>123</v>
      </c>
      <c r="B40" s="17">
        <f>IF(B39&gt;=Inputs!$B$19,"",B39+1)</f>
        <v>38</v>
      </c>
      <c r="C40" s="19">
        <f>IF(C39&gt;=Inputs!$B$19,"",C39+1)</f>
      </c>
      <c r="D40" s="7" t="e">
        <f>IF(C39&gt;=Inputs!$B$19,NA(),D39+1)</f>
        <v>#N/A</v>
      </c>
      <c r="E40" s="13">
        <f>IF(C39&gt;=Inputs!$B$19,"",E39*(1+Inputs!$B$18))</f>
      </c>
      <c r="F40" s="18">
        <f>IF(C40&gt;=Inputs!$B$19,"",12*I40)</f>
      </c>
      <c r="G40" s="18" t="e">
        <f>IF(D40&gt;Inputs!$B$20,0,IF(E40&lt;Inputs!$B$7,(E40*Inputs!$B$9),IF(Inputs!$B$16=Inputs!$B$13,(E40*Inputs!$B$8)-(Inputs!$B$7*(Inputs!$B$8-Inputs!$B$9)),IF(Inputs!$B$16=Inputs!$B$14,(Inputs!$B$7*Inputs!$B$9),IF(Inputs!$B$16=Inputs!$B$15,(Inputs!$B$7*Inputs!$B$9),0)))))</f>
        <v>#N/A</v>
      </c>
      <c r="H40" s="18" t="e">
        <f>IF(D40&gt;Inputs!$B$20,0,IF(E40&lt;Inputs!$B$7,(E40*Inputs!$B$8),IF(Inputs!$B$16=Inputs!$B$13,(E40*Inputs!$B$8),IF(Inputs!$B$16=Inputs!$B$14,(E40*Inputs!$B$8),IF(Inputs!$B$16=Inputs!$B$15,(Inputs!$B$7*Inputs!$B$8),0)))))</f>
        <v>#N/A</v>
      </c>
      <c r="I40" s="18" t="e">
        <f t="shared" si="0"/>
        <v>#N/A</v>
      </c>
      <c r="J40" s="17" t="e">
        <f>IF(D40&gt;Inputs!$B$20,0,IF(E40&lt;Inputs!$B$7,(E40*Inputs!$B$8)+(E40*Inputs!$B$9),IF(Inputs!$B$16=Inputs!$B$13,(E40*Inputs!$B$8)+(E40*Inputs!$B$8)-(Inputs!$B$7*(Inputs!$B$8-Inputs!$B$9)),IF(Inputs!$B$16=Inputs!$B$14,(E40*Inputs!$B$8)+(Inputs!$B$7*Inputs!$B$9),IF(Inputs!$B$16=Inputs!$B$15,(Inputs!$B$7*Inputs!$B$8)+(Inputs!$B$7*Inputs!$B$9),0)))))</f>
        <v>#N/A</v>
      </c>
      <c r="L40" s="33">
        <f>IF(A40=123,IF(C40&gt;=Inputs!$B$19,"",L39+12*J40),0)</f>
      </c>
      <c r="M40" s="28"/>
      <c r="N40" s="33">
        <f>IF(A40=123,IF(C40&gt;=Inputs!$B$19,"",N39+(N39+12*J40+L39)*(Inputs!$B$11)),0)</f>
      </c>
      <c r="O40" s="35">
        <f>IF(A40=123,IF(C40&gt;=Inputs!$B$19,"",P39),0)</f>
      </c>
      <c r="P40" s="35">
        <f>IF(A40=123,IF(C40&gt;=Inputs!$B$19,"",(P39+12*J40)*(1+Inputs!$B$11)),0)</f>
      </c>
      <c r="Q40" s="44">
        <f>IF(C40&gt;=Inputs!$B$19,"",R39)</f>
      </c>
      <c r="R40" s="44">
        <f>IF(C40&gt;=Inputs!$B$19,"",(R39+12*J40)*(1+Inputs!$B$11))</f>
      </c>
      <c r="S40" s="17">
        <f>IF(C40&gt;=Inputs!$B$19,"",T39)</f>
      </c>
      <c r="T40" s="17">
        <f>IF(A40=123,IF(C40&gt;=Inputs!$B$19,"",(T39)*(1+Inputs!$B$11)),IF(C39&gt;=Inputs!$B$19,"",(T39+12*J40)*(1+Inputs!$B$11)))</f>
      </c>
      <c r="U40" s="55">
        <f>IF(C39&gt;=Inputs!$B$19,"",V39)</f>
      </c>
      <c r="V40" s="56" t="e">
        <f>IF(C39&gt;=Inputs!$B$19,NA(),(V39+12*I40)*(1+Inputs!$B$11))</f>
        <v>#N/A</v>
      </c>
      <c r="W40" s="55" t="e">
        <f>IF(C39&gt;=Inputs!$B$19,NA(),IF(D40&lt;57,T40-V40,IF(D40&lt;58,90%*T40,T40)))</f>
        <v>#N/A</v>
      </c>
      <c r="X40" s="57">
        <f>IF(E40&lt;Inputs!$B$7,Inputs!$B$10*(Inputs!$B$8-Inputs!$B$9),Inputs!$B$7*(Inputs!$B$8-Inputs!$B$9))</f>
        <v>1249.4999999999998</v>
      </c>
      <c r="Y40" s="58" t="e">
        <f>IF(C39&gt;=Inputs!$B$19,NA(),W40/T40)</f>
        <v>#N/A</v>
      </c>
      <c r="Z40" s="11">
        <f>IF(C39&gt;=Inputs!$B$19,"",AA39)</f>
      </c>
      <c r="AA40" s="11">
        <f>IF(C39&gt;=Inputs!$B$19,"",AA39+12*X40)</f>
      </c>
      <c r="AB40" s="11">
        <f>IF(C39&gt;=Inputs!$B$19,"",12*IF(E40&lt;Inputs!$B$7,1.61%*E40,1.61%*Inputs!$B$7))</f>
      </c>
      <c r="AE40" s="17"/>
      <c r="AL40" s="96">
        <f>IF(C39=58,'efective tax rates'!$K$7,IF(C39&lt;58,-12*J40,""))</f>
      </c>
    </row>
    <row r="41" spans="1:38" ht="14.25">
      <c r="A41" s="51">
        <f>IF(A40=123,123,IF(B41=Inputs!$B$3,123,""))</f>
        <v>123</v>
      </c>
      <c r="B41" s="17">
        <f>IF(B40&gt;=Inputs!$B$19,"",B40+1)</f>
        <v>39</v>
      </c>
      <c r="C41" s="19">
        <f>IF(C40&gt;=Inputs!$B$19,"",C40+1)</f>
      </c>
      <c r="D41" s="7" t="e">
        <f>IF(C40&gt;=Inputs!$B$19,NA(),D40+1)</f>
        <v>#N/A</v>
      </c>
      <c r="E41" s="13">
        <f>IF(C40&gt;=Inputs!$B$19,"",E40*(1+Inputs!$B$18))</f>
      </c>
      <c r="F41" s="18">
        <f>IF(C41&gt;=Inputs!$B$19,"",12*I41)</f>
      </c>
      <c r="G41" s="18" t="e">
        <f>IF(D41&gt;Inputs!$B$20,0,IF(E41&lt;Inputs!$B$7,(E41*Inputs!$B$9),IF(Inputs!$B$16=Inputs!$B$13,(E41*Inputs!$B$8)-(Inputs!$B$7*(Inputs!$B$8-Inputs!$B$9)),IF(Inputs!$B$16=Inputs!$B$14,(Inputs!$B$7*Inputs!$B$9),IF(Inputs!$B$16=Inputs!$B$15,(Inputs!$B$7*Inputs!$B$9),0)))))</f>
        <v>#N/A</v>
      </c>
      <c r="H41" s="18" t="e">
        <f>IF(D41&gt;Inputs!$B$20,0,IF(E41&lt;Inputs!$B$7,(E41*Inputs!$B$8),IF(Inputs!$B$16=Inputs!$B$13,(E41*Inputs!$B$8),IF(Inputs!$B$16=Inputs!$B$14,(E41*Inputs!$B$8),IF(Inputs!$B$16=Inputs!$B$15,(Inputs!$B$7*Inputs!$B$8),0)))))</f>
        <v>#N/A</v>
      </c>
      <c r="I41" s="18" t="e">
        <f t="shared" si="0"/>
        <v>#N/A</v>
      </c>
      <c r="J41" s="17" t="e">
        <f>IF(D41&gt;Inputs!$B$20,0,IF(E41&lt;Inputs!$B$7,(E41*Inputs!$B$8)+(E41*Inputs!$B$9),IF(Inputs!$B$16=Inputs!$B$13,(E41*Inputs!$B$8)+(E41*Inputs!$B$8)-(Inputs!$B$7*(Inputs!$B$8-Inputs!$B$9)),IF(Inputs!$B$16=Inputs!$B$14,(E41*Inputs!$B$8)+(Inputs!$B$7*Inputs!$B$9),IF(Inputs!$B$16=Inputs!$B$15,(Inputs!$B$7*Inputs!$B$8)+(Inputs!$B$7*Inputs!$B$9),0)))))</f>
        <v>#N/A</v>
      </c>
      <c r="L41" s="33">
        <f>IF(A41=123,IF(C41&gt;=Inputs!$B$19,"",L40+12*J41),0)</f>
      </c>
      <c r="M41" s="28"/>
      <c r="N41" s="33">
        <f>IF(A41=123,IF(C41&gt;=Inputs!$B$19,"",N40+(N40+12*J41+L40)*(Inputs!$B$11)),0)</f>
      </c>
      <c r="O41" s="35">
        <f>IF(A41=123,IF(C41&gt;=Inputs!$B$19,"",P40),0)</f>
      </c>
      <c r="P41" s="35">
        <f>IF(A41=123,IF(C41&gt;=Inputs!$B$19,"",(P40+12*J41)*(1+Inputs!$B$11)),0)</f>
      </c>
      <c r="Q41" s="44">
        <f>IF(C41&gt;=Inputs!$B$19,"",R40)</f>
      </c>
      <c r="R41" s="44">
        <f>IF(C41&gt;=Inputs!$B$19,"",(R40+12*J41)*(1+Inputs!$B$11))</f>
      </c>
      <c r="S41" s="17">
        <f>IF(C41&gt;=Inputs!$B$19,"",T40)</f>
      </c>
      <c r="T41" s="17">
        <f>IF(A41=123,IF(C41&gt;=Inputs!$B$19,"",(T40)*(1+Inputs!$B$11)),IF(C40&gt;=Inputs!$B$19,"",(T40+12*J41)*(1+Inputs!$B$11)))</f>
      </c>
      <c r="U41" s="55">
        <f>IF(C40&gt;=Inputs!$B$19,"",V40)</f>
      </c>
      <c r="V41" s="56" t="e">
        <f>IF(C40&gt;=Inputs!$B$19,NA(),(V40+12*I41)*(1+Inputs!$B$11))</f>
        <v>#N/A</v>
      </c>
      <c r="W41" s="55" t="e">
        <f>IF(C40&gt;=Inputs!$B$19,NA(),IF(D41&lt;57,T41-V41,IF(D41&lt;58,90%*T41,T41)))</f>
        <v>#N/A</v>
      </c>
      <c r="X41" s="57">
        <f>IF(E41&lt;Inputs!$B$7,Inputs!$B$10*(Inputs!$B$8-Inputs!$B$9),Inputs!$B$7*(Inputs!$B$8-Inputs!$B$9))</f>
        <v>1249.4999999999998</v>
      </c>
      <c r="Y41" s="58" t="e">
        <f>IF(C40&gt;=Inputs!$B$19,NA(),W41/T41)</f>
        <v>#N/A</v>
      </c>
      <c r="Z41" s="11">
        <f>IF(C40&gt;=Inputs!$B$19,"",AA40)</f>
      </c>
      <c r="AA41" s="11">
        <f>IF(C40&gt;=Inputs!$B$19,"",AA40+12*X41)</f>
      </c>
      <c r="AB41" s="11">
        <f>IF(C40&gt;=Inputs!$B$19,"",12*IF(E41&lt;Inputs!$B$7,1.61%*E41,1.61%*Inputs!$B$7))</f>
      </c>
      <c r="AE41" s="17"/>
      <c r="AL41" s="96">
        <f>IF(C40=58,'efective tax rates'!$K$7,IF(C40&lt;58,-12*J41,""))</f>
      </c>
    </row>
    <row r="42" spans="1:38" ht="14.25">
      <c r="A42" s="51">
        <f>IF(A41=123,123,IF(B42=Inputs!$B$3,123,""))</f>
        <v>123</v>
      </c>
      <c r="B42" s="17">
        <f>IF(B41&gt;=Inputs!$B$19,"",B41+1)</f>
        <v>40</v>
      </c>
      <c r="C42" s="19">
        <f>IF(C41&gt;=Inputs!$B$19,"",C41+1)</f>
      </c>
      <c r="D42" s="7" t="e">
        <f>IF(C41&gt;=Inputs!$B$19,NA(),D41+1)</f>
        <v>#N/A</v>
      </c>
      <c r="E42" s="13">
        <f>IF(C41&gt;=Inputs!$B$19,"",E41*(1+Inputs!$B$18))</f>
      </c>
      <c r="F42" s="18">
        <f>IF(C42&gt;=Inputs!$B$19,"",12*I42)</f>
      </c>
      <c r="G42" s="18" t="e">
        <f>IF(D42&gt;Inputs!$B$20,0,IF(E42&lt;Inputs!$B$7,(E42*Inputs!$B$9),IF(Inputs!$B$16=Inputs!$B$13,(E42*Inputs!$B$8)-(Inputs!$B$7*(Inputs!$B$8-Inputs!$B$9)),IF(Inputs!$B$16=Inputs!$B$14,(Inputs!$B$7*Inputs!$B$9),IF(Inputs!$B$16=Inputs!$B$15,(Inputs!$B$7*Inputs!$B$9),0)))))</f>
        <v>#N/A</v>
      </c>
      <c r="H42" s="18" t="e">
        <f>IF(D42&gt;Inputs!$B$20,0,IF(E42&lt;Inputs!$B$7,(E42*Inputs!$B$8),IF(Inputs!$B$16=Inputs!$B$13,(E42*Inputs!$B$8),IF(Inputs!$B$16=Inputs!$B$14,(E42*Inputs!$B$8),IF(Inputs!$B$16=Inputs!$B$15,(Inputs!$B$7*Inputs!$B$8),0)))))</f>
        <v>#N/A</v>
      </c>
      <c r="I42" s="18" t="e">
        <f t="shared" si="0"/>
        <v>#N/A</v>
      </c>
      <c r="J42" s="17" t="e">
        <f>IF(D42&gt;Inputs!$B$20,0,IF(E42&lt;Inputs!$B$7,(E42*Inputs!$B$8)+(E42*Inputs!$B$9),IF(Inputs!$B$16=Inputs!$B$13,(E42*Inputs!$B$8)+(E42*Inputs!$B$8)-(Inputs!$B$7*(Inputs!$B$8-Inputs!$B$9)),IF(Inputs!$B$16=Inputs!$B$14,(E42*Inputs!$B$8)+(Inputs!$B$7*Inputs!$B$9),IF(Inputs!$B$16=Inputs!$B$15,(Inputs!$B$7*Inputs!$B$8)+(Inputs!$B$7*Inputs!$B$9),0)))))</f>
        <v>#N/A</v>
      </c>
      <c r="L42" s="33">
        <f>IF(A42=123,IF(C42&gt;=Inputs!$B$19,"",L41+12*J42),0)</f>
      </c>
      <c r="M42" s="28"/>
      <c r="N42" s="33">
        <f>IF(A42=123,IF(C42&gt;=Inputs!$B$19,"",N41+(N41+12*J42+L41)*(Inputs!$B$11)),0)</f>
      </c>
      <c r="O42" s="35">
        <f>IF(A42=123,IF(C42&gt;=Inputs!$B$19,"",P41),0)</f>
      </c>
      <c r="P42" s="35">
        <f>IF(A42=123,IF(C42&gt;=Inputs!$B$19,"",(P41+12*J42)*(1+Inputs!$B$11)),0)</f>
      </c>
      <c r="Q42" s="44">
        <f>IF(C42&gt;=Inputs!$B$19,"",R41)</f>
      </c>
      <c r="R42" s="44">
        <f>IF(C42&gt;=Inputs!$B$19,"",(R41+12*J42)*(1+Inputs!$B$11))</f>
      </c>
      <c r="S42" s="17">
        <f>IF(C42&gt;=Inputs!$B$19,"",T41)</f>
      </c>
      <c r="T42" s="17">
        <f>IF(A42=123,IF(C42&gt;=Inputs!$B$19,"",(T41)*(1+Inputs!$B$11)),IF(C41&gt;=Inputs!$B$19,"",(T41+12*J42)*(1+Inputs!$B$11)))</f>
      </c>
      <c r="U42" s="55">
        <f>IF(C41&gt;=Inputs!$B$19,"",V41)</f>
      </c>
      <c r="V42" s="56" t="e">
        <f>IF(C41&gt;=Inputs!$B$19,NA(),(V41+12*I42)*(1+Inputs!$B$11))</f>
        <v>#N/A</v>
      </c>
      <c r="W42" s="55" t="e">
        <f>IF(C41&gt;=Inputs!$B$19,NA(),IF(D42&lt;57,T42-V42,IF(D42&lt;58,90%*T42,T42)))</f>
        <v>#N/A</v>
      </c>
      <c r="X42" s="57">
        <f>IF(E42&lt;Inputs!$B$7,Inputs!$B$10*(Inputs!$B$8-Inputs!$B$9),Inputs!$B$7*(Inputs!$B$8-Inputs!$B$9))</f>
        <v>1249.4999999999998</v>
      </c>
      <c r="Y42" s="58" t="e">
        <f>IF(C41&gt;=Inputs!$B$19,NA(),W42/T42)</f>
        <v>#N/A</v>
      </c>
      <c r="Z42" s="11">
        <f>IF(C41&gt;=Inputs!$B$19,"",AA41)</f>
      </c>
      <c r="AA42" s="11">
        <f>IF(C41&gt;=Inputs!$B$19,"",AA41+12*X42)</f>
      </c>
      <c r="AB42" s="11">
        <f>IF(C41&gt;=Inputs!$B$19,"",12*IF(E42&lt;Inputs!$B$7,1.61%*E42,1.61%*Inputs!$B$7))</f>
      </c>
      <c r="AE42" s="17"/>
      <c r="AL42" s="96">
        <f>IF(C41=58,'efective tax rates'!$K$7,IF(C41&lt;58,-12*J42,""))</f>
      </c>
    </row>
    <row r="43" spans="1:38" ht="14.25">
      <c r="A43" s="51">
        <f>IF(A42=123,123,IF(B43=Inputs!$B$3,123,""))</f>
        <v>123</v>
      </c>
      <c r="B43" s="17">
        <f>IF(B42&gt;=Inputs!$B$19,"",B42+1)</f>
        <v>41</v>
      </c>
      <c r="C43" s="19">
        <f>IF(C42&gt;=Inputs!$B$19,"",C42+1)</f>
      </c>
      <c r="D43" s="7" t="e">
        <f>IF(C42&gt;=Inputs!$B$19,NA(),D42+1)</f>
        <v>#N/A</v>
      </c>
      <c r="E43" s="13">
        <f>IF(C42&gt;=Inputs!$B$19,"",E42*(1+Inputs!$B$18))</f>
      </c>
      <c r="F43" s="18">
        <f>IF(C43&gt;=Inputs!$B$19,"",12*I43)</f>
      </c>
      <c r="G43" s="18" t="e">
        <f>IF(D43&gt;Inputs!$B$20,0,IF(E43&lt;Inputs!$B$7,(E43*Inputs!$B$9),IF(Inputs!$B$16=Inputs!$B$13,(E43*Inputs!$B$8)-(Inputs!$B$7*(Inputs!$B$8-Inputs!$B$9)),IF(Inputs!$B$16=Inputs!$B$14,(Inputs!$B$7*Inputs!$B$9),IF(Inputs!$B$16=Inputs!$B$15,(Inputs!$B$7*Inputs!$B$9),0)))))</f>
        <v>#N/A</v>
      </c>
      <c r="H43" s="18" t="e">
        <f>IF(D43&gt;Inputs!$B$20,0,IF(E43&lt;Inputs!$B$7,(E43*Inputs!$B$8),IF(Inputs!$B$16=Inputs!$B$13,(E43*Inputs!$B$8),IF(Inputs!$B$16=Inputs!$B$14,(E43*Inputs!$B$8),IF(Inputs!$B$16=Inputs!$B$15,(Inputs!$B$7*Inputs!$B$8),0)))))</f>
        <v>#N/A</v>
      </c>
      <c r="I43" s="18" t="e">
        <f t="shared" si="0"/>
        <v>#N/A</v>
      </c>
      <c r="J43" s="17" t="e">
        <f>IF(D43&gt;Inputs!$B$20,0,IF(E43&lt;Inputs!$B$7,(E43*Inputs!$B$8)+(E43*Inputs!$B$9),IF(Inputs!$B$16=Inputs!$B$13,(E43*Inputs!$B$8)+(E43*Inputs!$B$8)-(Inputs!$B$7*(Inputs!$B$8-Inputs!$B$9)),IF(Inputs!$B$16=Inputs!$B$14,(E43*Inputs!$B$8)+(Inputs!$B$7*Inputs!$B$9),IF(Inputs!$B$16=Inputs!$B$15,(Inputs!$B$7*Inputs!$B$8)+(Inputs!$B$7*Inputs!$B$9),0)))))</f>
        <v>#N/A</v>
      </c>
      <c r="L43" s="33">
        <f>IF(A43=123,IF(C43&gt;=Inputs!$B$19,"",L42+12*J43),0)</f>
      </c>
      <c r="M43" s="28"/>
      <c r="N43" s="33">
        <f>IF(A43=123,IF(C43&gt;=Inputs!$B$19,"",N42+(N42+12*J43+L42)*(Inputs!$B$11)),0)</f>
      </c>
      <c r="O43" s="35">
        <f>IF(A43=123,IF(C43&gt;=Inputs!$B$19,"",P42),0)</f>
      </c>
      <c r="P43" s="35">
        <f>IF(A43=123,IF(C43&gt;=Inputs!$B$19,"",(P42+12*J43)*(1+Inputs!$B$11)),0)</f>
      </c>
      <c r="Q43" s="44">
        <f>IF(C43&gt;=Inputs!$B$19,"",R42)</f>
      </c>
      <c r="R43" s="44">
        <f>IF(C43&gt;=Inputs!$B$19,"",(R42+12*J43)*(1+Inputs!$B$11))</f>
      </c>
      <c r="S43" s="17">
        <f>IF(C43&gt;=Inputs!$B$19,"",T42)</f>
      </c>
      <c r="T43" s="17">
        <f>IF(A43=123,IF(C43&gt;=Inputs!$B$19,"",(T42)*(1+Inputs!$B$11)),IF(C42&gt;=Inputs!$B$19,"",(T42+12*J43)*(1+Inputs!$B$11)))</f>
      </c>
      <c r="U43" s="55">
        <f>IF(C42&gt;=Inputs!$B$19,"",V42)</f>
      </c>
      <c r="V43" s="56" t="e">
        <f>IF(C42&gt;=Inputs!$B$19,NA(),(V42+12*I43)*(1+Inputs!$B$11))</f>
        <v>#N/A</v>
      </c>
      <c r="W43" s="55" t="e">
        <f>IF(C42&gt;=Inputs!$B$19,NA(),IF(D43&lt;57,T43-V43,IF(D43&lt;58,90%*T43,T43)))</f>
        <v>#N/A</v>
      </c>
      <c r="X43" s="57">
        <f>IF(E43&lt;Inputs!$B$7,Inputs!$B$10*(Inputs!$B$8-Inputs!$B$9),Inputs!$B$7*(Inputs!$B$8-Inputs!$B$9))</f>
        <v>1249.4999999999998</v>
      </c>
      <c r="Y43" s="58" t="e">
        <f>IF(C42&gt;=Inputs!$B$19,NA(),W43/T43)</f>
        <v>#N/A</v>
      </c>
      <c r="Z43" s="11">
        <f>IF(C42&gt;=Inputs!$B$19,"",AA42)</f>
      </c>
      <c r="AA43" s="11">
        <f>IF(C42&gt;=Inputs!$B$19,"",AA42+12*X43)</f>
      </c>
      <c r="AB43" s="11">
        <f>IF(C42&gt;=Inputs!$B$19,"",12*IF(E43&lt;Inputs!$B$7,1.61%*E43,1.61%*Inputs!$B$7))</f>
      </c>
      <c r="AE43" s="17"/>
      <c r="AL43" s="96">
        <f>IF(C42=58,'efective tax rates'!$K$7,IF(C42&lt;58,-12*J43,""))</f>
      </c>
    </row>
    <row r="44" spans="1:38" ht="14.25">
      <c r="A44" s="51">
        <f>IF(A43=123,123,IF(B44=Inputs!$B$3,123,""))</f>
        <v>123</v>
      </c>
      <c r="B44" s="17">
        <f>IF(B43&gt;=Inputs!$B$19,"",B43+1)</f>
        <v>42</v>
      </c>
      <c r="C44" s="19">
        <f>IF(C43&gt;=Inputs!$B$19,"",C43+1)</f>
      </c>
      <c r="D44" s="7" t="e">
        <f>IF(C43&gt;=Inputs!$B$19,NA(),D43+1)</f>
        <v>#N/A</v>
      </c>
      <c r="E44" s="13">
        <f>IF(C43&gt;=Inputs!$B$19,"",E43*(1+Inputs!$B$18))</f>
      </c>
      <c r="F44" s="18">
        <f>IF(C44&gt;=Inputs!$B$19,"",12*I44)</f>
      </c>
      <c r="G44" s="18" t="e">
        <f>IF(D44&gt;Inputs!$B$20,0,IF(E44&lt;Inputs!$B$7,(E44*Inputs!$B$9),IF(Inputs!$B$16=Inputs!$B$13,(E44*Inputs!$B$8)-(Inputs!$B$7*(Inputs!$B$8-Inputs!$B$9)),IF(Inputs!$B$16=Inputs!$B$14,(Inputs!$B$7*Inputs!$B$9),IF(Inputs!$B$16=Inputs!$B$15,(Inputs!$B$7*Inputs!$B$9),0)))))</f>
        <v>#N/A</v>
      </c>
      <c r="H44" s="18" t="e">
        <f>IF(D44&gt;Inputs!$B$20,0,IF(E44&lt;Inputs!$B$7,(E44*Inputs!$B$8),IF(Inputs!$B$16=Inputs!$B$13,(E44*Inputs!$B$8),IF(Inputs!$B$16=Inputs!$B$14,(E44*Inputs!$B$8),IF(Inputs!$B$16=Inputs!$B$15,(Inputs!$B$7*Inputs!$B$8),0)))))</f>
        <v>#N/A</v>
      </c>
      <c r="I44" s="18" t="e">
        <f t="shared" si="0"/>
        <v>#N/A</v>
      </c>
      <c r="J44" s="17" t="e">
        <f>IF(D44&gt;Inputs!$B$20,0,IF(E44&lt;Inputs!$B$7,(E44*Inputs!$B$8)+(E44*Inputs!$B$9),IF(Inputs!$B$16=Inputs!$B$13,(E44*Inputs!$B$8)+(E44*Inputs!$B$8)-(Inputs!$B$7*(Inputs!$B$8-Inputs!$B$9)),IF(Inputs!$B$16=Inputs!$B$14,(E44*Inputs!$B$8)+(Inputs!$B$7*Inputs!$B$9),IF(Inputs!$B$16=Inputs!$B$15,(Inputs!$B$7*Inputs!$B$8)+(Inputs!$B$7*Inputs!$B$9),0)))))</f>
        <v>#N/A</v>
      </c>
      <c r="L44" s="33">
        <f>IF(A44=123,IF(C44&gt;=Inputs!$B$19,"",L43+12*J44),0)</f>
      </c>
      <c r="M44" s="28"/>
      <c r="N44" s="33">
        <f>IF(A44=123,IF(C44&gt;=Inputs!$B$19,"",N43+(N43+12*J44+L43)*(Inputs!$B$11)),0)</f>
      </c>
      <c r="O44" s="35">
        <f>IF(A44=123,IF(C44&gt;=Inputs!$B$19,"",P43),0)</f>
      </c>
      <c r="P44" s="35">
        <f>IF(A44=123,IF(C44&gt;=Inputs!$B$19,"",(P43+12*J44)*(1+Inputs!$B$11)),0)</f>
      </c>
      <c r="Q44" s="44">
        <f>IF(C44&gt;=Inputs!$B$19,"",R43)</f>
      </c>
      <c r="R44" s="44">
        <f>IF(C44&gt;=Inputs!$B$19,"",(R43+12*J44)*(1+Inputs!$B$11))</f>
      </c>
      <c r="S44" s="17">
        <f>IF(C44&gt;=Inputs!$B$19,"",T43)</f>
      </c>
      <c r="T44" s="17">
        <f>IF(A44=123,IF(C44&gt;=Inputs!$B$19,"",(T43)*(1+Inputs!$B$11)),IF(C43&gt;=Inputs!$B$19,"",(T43+12*J44)*(1+Inputs!$B$11)))</f>
      </c>
      <c r="U44" s="55">
        <f>IF(C43&gt;=Inputs!$B$19,"",V43)</f>
      </c>
      <c r="V44" s="56" t="e">
        <f>IF(C43&gt;=Inputs!$B$19,NA(),(V43+12*I44)*(1+Inputs!$B$11))</f>
        <v>#N/A</v>
      </c>
      <c r="W44" s="55" t="e">
        <f>IF(C43&gt;=Inputs!$B$19,NA(),IF(D44&lt;57,T44-V44,IF(D44&lt;58,90%*T44,T44)))</f>
        <v>#N/A</v>
      </c>
      <c r="X44" s="57">
        <f>IF(E44&lt;Inputs!$B$7,Inputs!$B$10*(Inputs!$B$8-Inputs!$B$9),Inputs!$B$7*(Inputs!$B$8-Inputs!$B$9))</f>
        <v>1249.4999999999998</v>
      </c>
      <c r="Y44" s="58" t="e">
        <f>IF(C43&gt;=Inputs!$B$19,NA(),W44/T44)</f>
        <v>#N/A</v>
      </c>
      <c r="Z44" s="11">
        <f>IF(C43&gt;=Inputs!$B$19,"",AA43)</f>
      </c>
      <c r="AA44" s="11">
        <f>IF(C43&gt;=Inputs!$B$19,"",AA43+12*X44)</f>
      </c>
      <c r="AB44" s="11">
        <f>IF(C43&gt;=Inputs!$B$19,"",12*IF(E44&lt;Inputs!$B$7,1.61%*E44,1.61%*Inputs!$B$7))</f>
      </c>
      <c r="AE44" s="17"/>
      <c r="AL44" s="96">
        <f>IF(C43=58,'efective tax rates'!$K$7,IF(C43&lt;58,-12*J44,""))</f>
      </c>
    </row>
    <row r="45" spans="1:38" ht="14.25">
      <c r="A45" s="51">
        <f>IF(A44=123,123,IF(B45=Inputs!$B$3,123,""))</f>
        <v>123</v>
      </c>
      <c r="B45" s="17">
        <f>IF(B44&gt;=Inputs!$B$19,"",B44+1)</f>
        <v>43</v>
      </c>
      <c r="C45" s="19">
        <f>IF(C44&gt;=Inputs!$B$19,"",C44+1)</f>
      </c>
      <c r="D45" s="7" t="e">
        <f>IF(C44&gt;=Inputs!$B$19,NA(),D44+1)</f>
        <v>#N/A</v>
      </c>
      <c r="E45" s="13">
        <f>IF(C44&gt;=Inputs!$B$19,"",E44*(1+Inputs!$B$18))</f>
      </c>
      <c r="F45" s="18">
        <f>IF(C45&gt;=Inputs!$B$19,"",12*I45)</f>
      </c>
      <c r="G45" s="18" t="e">
        <f>IF(D45&gt;Inputs!$B$20,0,IF(E45&lt;Inputs!$B$7,(E45*Inputs!$B$9),IF(Inputs!$B$16=Inputs!$B$13,(E45*Inputs!$B$8)-(Inputs!$B$7*(Inputs!$B$8-Inputs!$B$9)),IF(Inputs!$B$16=Inputs!$B$14,(Inputs!$B$7*Inputs!$B$9),IF(Inputs!$B$16=Inputs!$B$15,(Inputs!$B$7*Inputs!$B$9),0)))))</f>
        <v>#N/A</v>
      </c>
      <c r="H45" s="18" t="e">
        <f>IF(D45&gt;Inputs!$B$20,0,IF(E45&lt;Inputs!$B$7,(E45*Inputs!$B$8),IF(Inputs!$B$16=Inputs!$B$13,(E45*Inputs!$B$8),IF(Inputs!$B$16=Inputs!$B$14,(E45*Inputs!$B$8),IF(Inputs!$B$16=Inputs!$B$15,(Inputs!$B$7*Inputs!$B$8),0)))))</f>
        <v>#N/A</v>
      </c>
      <c r="I45" s="18" t="e">
        <f t="shared" si="0"/>
        <v>#N/A</v>
      </c>
      <c r="J45" s="17" t="e">
        <f>IF(D45&gt;Inputs!$B$20,0,IF(E45&lt;Inputs!$B$7,(E45*Inputs!$B$8)+(E45*Inputs!$B$9),IF(Inputs!$B$16=Inputs!$B$13,(E45*Inputs!$B$8)+(E45*Inputs!$B$8)-(Inputs!$B$7*(Inputs!$B$8-Inputs!$B$9)),IF(Inputs!$B$16=Inputs!$B$14,(E45*Inputs!$B$8)+(Inputs!$B$7*Inputs!$B$9),IF(Inputs!$B$16=Inputs!$B$15,(Inputs!$B$7*Inputs!$B$8)+(Inputs!$B$7*Inputs!$B$9),0)))))</f>
        <v>#N/A</v>
      </c>
      <c r="L45" s="33">
        <f>IF(A45=123,IF(C45&gt;=Inputs!$B$19,"",L44+12*J45),0)</f>
      </c>
      <c r="M45" s="28"/>
      <c r="N45" s="33">
        <f>IF(A45=123,IF(C45&gt;=Inputs!$B$19,"",N44+(N44+12*J45+L44)*(Inputs!$B$11)),0)</f>
      </c>
      <c r="O45" s="35">
        <f>IF(A45=123,IF(C45&gt;=Inputs!$B$19,"",P44),0)</f>
      </c>
      <c r="P45" s="35">
        <f>IF(A45=123,IF(C45&gt;=Inputs!$B$19,"",(P44+12*J45)*(1+Inputs!$B$11)),0)</f>
      </c>
      <c r="Q45" s="44">
        <f>IF(C45&gt;=Inputs!$B$19,"",R44)</f>
      </c>
      <c r="R45" s="44">
        <f>IF(C45&gt;=Inputs!$B$19,"",(R44+12*J45)*(1+Inputs!$B$11))</f>
      </c>
      <c r="S45" s="17">
        <f>IF(C45&gt;=Inputs!$B$19,"",T44)</f>
      </c>
      <c r="T45" s="17">
        <f>IF(A45=123,IF(C45&gt;=Inputs!$B$19,"",(T44)*(1+Inputs!$B$11)),IF(C44&gt;=Inputs!$B$19,"",(T44+12*J45)*(1+Inputs!$B$11)))</f>
      </c>
      <c r="U45" s="55">
        <f>IF(C44&gt;=Inputs!$B$19,"",V44)</f>
      </c>
      <c r="V45" s="56" t="e">
        <f>IF(C44&gt;=Inputs!$B$19,NA(),(V44+12*I45)*(1+Inputs!$B$11))</f>
        <v>#N/A</v>
      </c>
      <c r="W45" s="55" t="e">
        <f>IF(C44&gt;=Inputs!$B$19,NA(),IF(D45&lt;57,T45-V45,IF(D45&lt;58,90%*T45,T45)))</f>
        <v>#N/A</v>
      </c>
      <c r="X45" s="57">
        <f>IF(E45&lt;Inputs!$B$7,Inputs!$B$10*(Inputs!$B$8-Inputs!$B$9),Inputs!$B$7*(Inputs!$B$8-Inputs!$B$9))</f>
        <v>1249.4999999999998</v>
      </c>
      <c r="Y45" s="58" t="e">
        <f>IF(C44&gt;=Inputs!$B$19,NA(),W45/T45)</f>
        <v>#N/A</v>
      </c>
      <c r="Z45" s="11">
        <f>IF(C44&gt;=Inputs!$B$19,"",AA44)</f>
      </c>
      <c r="AA45" s="11">
        <f>IF(C44&gt;=Inputs!$B$19,"",AA44+12*X45)</f>
      </c>
      <c r="AB45" s="11">
        <f>IF(C44&gt;=Inputs!$B$19,"",12*IF(E45&lt;Inputs!$B$7,1.61%*E45,1.61%*Inputs!$B$7))</f>
      </c>
      <c r="AE45" s="17"/>
      <c r="AL45" s="96">
        <f>IF(C44=58,'efective tax rates'!$K$7,IF(C44&lt;58,-12*J45,""))</f>
      </c>
    </row>
    <row r="46" spans="1:38" ht="14.25">
      <c r="A46" s="51">
        <f>IF(A45=123,123,IF(B46=Inputs!$B$3,123,""))</f>
        <v>123</v>
      </c>
      <c r="B46" s="17">
        <f>IF(B45&gt;=Inputs!$B$19,"",B45+1)</f>
        <v>44</v>
      </c>
      <c r="C46" s="19">
        <f>IF(C45&gt;=Inputs!$B$19,"",C45+1)</f>
      </c>
      <c r="D46" s="7" t="e">
        <f>IF(C45&gt;=Inputs!$B$19,NA(),D45+1)</f>
        <v>#N/A</v>
      </c>
      <c r="E46" s="13">
        <f>IF(C45&gt;=Inputs!$B$19,"",E45*(1+Inputs!$B$18))</f>
      </c>
      <c r="F46" s="18">
        <f>IF(C46&gt;=Inputs!$B$19,"",12*I46)</f>
      </c>
      <c r="G46" s="18" t="e">
        <f>IF(D46&gt;Inputs!$B$20,0,IF(E46&lt;Inputs!$B$7,(E46*Inputs!$B$9),IF(Inputs!$B$16=Inputs!$B$13,(E46*Inputs!$B$8)-(Inputs!$B$7*(Inputs!$B$8-Inputs!$B$9)),IF(Inputs!$B$16=Inputs!$B$14,(Inputs!$B$7*Inputs!$B$9),IF(Inputs!$B$16=Inputs!$B$15,(Inputs!$B$7*Inputs!$B$9),0)))))</f>
        <v>#N/A</v>
      </c>
      <c r="H46" s="18" t="e">
        <f>IF(D46&gt;Inputs!$B$20,0,IF(E46&lt;Inputs!$B$7,(E46*Inputs!$B$8),IF(Inputs!$B$16=Inputs!$B$13,(E46*Inputs!$B$8),IF(Inputs!$B$16=Inputs!$B$14,(E46*Inputs!$B$8),IF(Inputs!$B$16=Inputs!$B$15,(Inputs!$B$7*Inputs!$B$8),0)))))</f>
        <v>#N/A</v>
      </c>
      <c r="I46" s="18" t="e">
        <f t="shared" si="0"/>
        <v>#N/A</v>
      </c>
      <c r="J46" s="17" t="e">
        <f>IF(D46&gt;Inputs!$B$20,0,IF(E46&lt;Inputs!$B$7,(E46*Inputs!$B$8)+(E46*Inputs!$B$9),IF(Inputs!$B$16=Inputs!$B$13,(E46*Inputs!$B$8)+(E46*Inputs!$B$8)-(Inputs!$B$7*(Inputs!$B$8-Inputs!$B$9)),IF(Inputs!$B$16=Inputs!$B$14,(E46*Inputs!$B$8)+(Inputs!$B$7*Inputs!$B$9),IF(Inputs!$B$16=Inputs!$B$15,(Inputs!$B$7*Inputs!$B$8)+(Inputs!$B$7*Inputs!$B$9),0)))))</f>
        <v>#N/A</v>
      </c>
      <c r="L46" s="33">
        <f>IF(A46=123,IF(C46&gt;=Inputs!$B$19,"",L45+12*J46),0)</f>
      </c>
      <c r="M46" s="28"/>
      <c r="N46" s="33">
        <f>IF(A46=123,IF(C46&gt;=Inputs!$B$19,"",N45+(N45+12*J46+L45)*(Inputs!$B$11)),0)</f>
      </c>
      <c r="O46" s="35">
        <f>IF(A46=123,IF(C46&gt;=Inputs!$B$19,"",P45),0)</f>
      </c>
      <c r="P46" s="35">
        <f>IF(A46=123,IF(C46&gt;=Inputs!$B$19,"",(P45+12*J46)*(1+Inputs!$B$11)),0)</f>
      </c>
      <c r="Q46" s="44">
        <f>IF(C46&gt;=Inputs!$B$19,"",R45)</f>
      </c>
      <c r="R46" s="44">
        <f>IF(C46&gt;=Inputs!$B$19,"",(R45+12*J46)*(1+Inputs!$B$11))</f>
      </c>
      <c r="S46" s="17">
        <f>IF(C46&gt;=Inputs!$B$19,"",T45)</f>
      </c>
      <c r="T46" s="17">
        <f>IF(A46=123,IF(C46&gt;=Inputs!$B$19,"",(T45)*(1+Inputs!$B$11)),IF(C45&gt;=Inputs!$B$19,"",(T45+12*J46)*(1+Inputs!$B$11)))</f>
      </c>
      <c r="U46" s="55">
        <f>IF(C45&gt;=Inputs!$B$19,"",V45)</f>
      </c>
      <c r="V46" s="56" t="e">
        <f>IF(C45&gt;=Inputs!$B$19,NA(),(V45+12*I46)*(1+Inputs!$B$11))</f>
        <v>#N/A</v>
      </c>
      <c r="W46" s="55" t="e">
        <f>IF(C45&gt;=Inputs!$B$19,NA(),IF(D46&lt;57,T46-V46,IF(D46&lt;58,90%*T46,T46)))</f>
        <v>#N/A</v>
      </c>
      <c r="X46" s="57">
        <f>IF(E46&lt;Inputs!$B$7,Inputs!$B$10*(Inputs!$B$8-Inputs!$B$9),Inputs!$B$7*(Inputs!$B$8-Inputs!$B$9))</f>
        <v>1249.4999999999998</v>
      </c>
      <c r="Y46" s="58" t="e">
        <f>IF(C45&gt;=Inputs!$B$19,NA(),W46/T46)</f>
        <v>#N/A</v>
      </c>
      <c r="Z46" s="11">
        <f>IF(C45&gt;=Inputs!$B$19,"",AA45)</f>
      </c>
      <c r="AA46" s="11">
        <f>IF(C45&gt;=Inputs!$B$19,"",AA45+12*X46)</f>
      </c>
      <c r="AB46" s="11">
        <f>IF(C45&gt;=Inputs!$B$19,"",12*IF(E46&lt;Inputs!$B$7,1.61%*E46,1.61%*Inputs!$B$7))</f>
      </c>
      <c r="AE46" s="17"/>
      <c r="AL46" s="96">
        <f>IF(C45=58,'efective tax rates'!$K$7,IF(C45&lt;58,-12*J46,""))</f>
      </c>
    </row>
    <row r="47" spans="1:38" ht="14.25">
      <c r="A47" s="51">
        <f>IF(A46=123,123,IF(B47=Inputs!$B$3,123,""))</f>
        <v>123</v>
      </c>
      <c r="B47" s="17">
        <f>IF(B46&gt;=Inputs!$B$19,"",B46+1)</f>
        <v>45</v>
      </c>
      <c r="C47" s="19">
        <f>IF(C46&gt;=Inputs!$B$19,"",C46+1)</f>
      </c>
      <c r="D47" s="7" t="e">
        <f>IF(C46&gt;=Inputs!$B$19,NA(),D46+1)</f>
        <v>#N/A</v>
      </c>
      <c r="E47" s="13">
        <f>IF(C46&gt;=Inputs!$B$19,"",E46*(1+Inputs!$B$18))</f>
      </c>
      <c r="F47" s="18">
        <f>IF(C47&gt;=Inputs!$B$19,"",12*I47)</f>
      </c>
      <c r="G47" s="18" t="e">
        <f>IF(D47&gt;Inputs!$B$20,0,IF(E47&lt;Inputs!$B$7,(E47*Inputs!$B$9),IF(Inputs!$B$16=Inputs!$B$13,(E47*Inputs!$B$8)-(Inputs!$B$7*(Inputs!$B$8-Inputs!$B$9)),IF(Inputs!$B$16=Inputs!$B$14,(Inputs!$B$7*Inputs!$B$9),IF(Inputs!$B$16=Inputs!$B$15,(Inputs!$B$7*Inputs!$B$9),0)))))</f>
        <v>#N/A</v>
      </c>
      <c r="H47" s="18" t="e">
        <f>IF(D47&gt;Inputs!$B$20,0,IF(E47&lt;Inputs!$B$7,(E47*Inputs!$B$8),IF(Inputs!$B$16=Inputs!$B$13,(E47*Inputs!$B$8),IF(Inputs!$B$16=Inputs!$B$14,(E47*Inputs!$B$8),IF(Inputs!$B$16=Inputs!$B$15,(Inputs!$B$7*Inputs!$B$8),0)))))</f>
        <v>#N/A</v>
      </c>
      <c r="I47" s="18" t="e">
        <f t="shared" si="0"/>
        <v>#N/A</v>
      </c>
      <c r="J47" s="17" t="e">
        <f>IF(D47&gt;Inputs!$B$20,0,IF(E47&lt;Inputs!$B$7,(E47*Inputs!$B$8)+(E47*Inputs!$B$9),IF(Inputs!$B$16=Inputs!$B$13,(E47*Inputs!$B$8)+(E47*Inputs!$B$8)-(Inputs!$B$7*(Inputs!$B$8-Inputs!$B$9)),IF(Inputs!$B$16=Inputs!$B$14,(E47*Inputs!$B$8)+(Inputs!$B$7*Inputs!$B$9),IF(Inputs!$B$16=Inputs!$B$15,(Inputs!$B$7*Inputs!$B$8)+(Inputs!$B$7*Inputs!$B$9),0)))))</f>
        <v>#N/A</v>
      </c>
      <c r="L47" s="33">
        <f>IF(A47=123,IF(C47&gt;=Inputs!$B$19,"",L46+12*J47),0)</f>
      </c>
      <c r="M47" s="28"/>
      <c r="N47" s="33">
        <f>IF(A47=123,IF(C47&gt;=Inputs!$B$19,"",N46+(N46+12*J47+L46)*(Inputs!$B$11)),0)</f>
      </c>
      <c r="O47" s="35">
        <f>IF(A47=123,IF(C47&gt;=Inputs!$B$19,"",P46),0)</f>
      </c>
      <c r="P47" s="35">
        <f>IF(A47=123,IF(C47&gt;=Inputs!$B$19,"",(P46+12*J47)*(1+Inputs!$B$11)),0)</f>
      </c>
      <c r="Q47" s="44">
        <f>IF(C47&gt;=Inputs!$B$19,"",R46)</f>
      </c>
      <c r="R47" s="44">
        <f>IF(C47&gt;=Inputs!$B$19,"",(R46+12*J47)*(1+Inputs!$B$11))</f>
      </c>
      <c r="S47" s="17">
        <f>IF(C47&gt;=Inputs!$B$19,"",T46)</f>
      </c>
      <c r="T47" s="17">
        <f>IF(A47=123,IF(C47&gt;=Inputs!$B$19,"",(T46)*(1+Inputs!$B$11)),IF(C46&gt;=Inputs!$B$19,"",(T46+12*J47)*(1+Inputs!$B$11)))</f>
      </c>
      <c r="U47" s="55">
        <f>IF(C46&gt;=Inputs!$B$19,"",V46)</f>
      </c>
      <c r="V47" s="56" t="e">
        <f>IF(C46&gt;=Inputs!$B$19,NA(),(V46+12*I47)*(1+Inputs!$B$11))</f>
        <v>#N/A</v>
      </c>
      <c r="W47" s="55" t="e">
        <f>IF(C46&gt;=Inputs!$B$19,NA(),IF(D47&lt;57,T47-V47,IF(D47&lt;58,90%*T47,T47)))</f>
        <v>#N/A</v>
      </c>
      <c r="X47" s="57">
        <f>IF(E47&lt;Inputs!$B$7,Inputs!$B$10*(Inputs!$B$8-Inputs!$B$9),Inputs!$B$7*(Inputs!$B$8-Inputs!$B$9))</f>
        <v>1249.4999999999998</v>
      </c>
      <c r="Y47" s="58" t="e">
        <f>IF(C46&gt;=Inputs!$B$19,NA(),W47/T47)</f>
        <v>#N/A</v>
      </c>
      <c r="Z47" s="11">
        <f>IF(C46&gt;=Inputs!$B$19,"",AA46)</f>
      </c>
      <c r="AA47" s="11">
        <f>IF(C46&gt;=Inputs!$B$19,"",AA46+12*X47)</f>
      </c>
      <c r="AB47" s="11">
        <f>IF(C46&gt;=Inputs!$B$19,"",12*IF(E47&lt;Inputs!$B$7,1.61%*E47,1.61%*Inputs!$B$7))</f>
      </c>
      <c r="AE47" s="17"/>
      <c r="AL47" s="96">
        <f>IF(C46=58,'efective tax rates'!$K$7,IF(C46&lt;58,-12*J47,""))</f>
      </c>
    </row>
    <row r="48" spans="1:38" ht="14.25">
      <c r="A48" s="51">
        <f>IF(A47=123,123,IF(B48=Inputs!$B$3,123,""))</f>
        <v>123</v>
      </c>
      <c r="B48" s="17">
        <f>IF(B47&gt;=Inputs!$B$19,"",B47+1)</f>
        <v>46</v>
      </c>
      <c r="C48" s="19">
        <f>IF(C47&gt;=Inputs!$B$19,"",C47+1)</f>
      </c>
      <c r="D48" s="7" t="e">
        <f>IF(C47&gt;=Inputs!$B$19,NA(),D47+1)</f>
        <v>#N/A</v>
      </c>
      <c r="E48" s="13">
        <f>IF(C47&gt;=Inputs!$B$19,"",E47*(1+Inputs!$B$18))</f>
      </c>
      <c r="F48" s="18">
        <f>IF(C48&gt;=Inputs!$B$19,"",12*I48)</f>
      </c>
      <c r="G48" s="18" t="e">
        <f>IF(D48&gt;Inputs!$B$20,0,IF(E48&lt;Inputs!$B$7,(E48*Inputs!$B$9),IF(Inputs!$B$16=Inputs!$B$13,(E48*Inputs!$B$8)-(Inputs!$B$7*(Inputs!$B$8-Inputs!$B$9)),IF(Inputs!$B$16=Inputs!$B$14,(Inputs!$B$7*Inputs!$B$9),IF(Inputs!$B$16=Inputs!$B$15,(Inputs!$B$7*Inputs!$B$9),0)))))</f>
        <v>#N/A</v>
      </c>
      <c r="H48" s="18" t="e">
        <f>IF(D48&gt;Inputs!$B$20,0,IF(E48&lt;Inputs!$B$7,(E48*Inputs!$B$8),IF(Inputs!$B$16=Inputs!$B$13,(E48*Inputs!$B$8),IF(Inputs!$B$16=Inputs!$B$14,(E48*Inputs!$B$8),IF(Inputs!$B$16=Inputs!$B$15,(Inputs!$B$7*Inputs!$B$8),0)))))</f>
        <v>#N/A</v>
      </c>
      <c r="I48" s="18" t="e">
        <f t="shared" si="0"/>
        <v>#N/A</v>
      </c>
      <c r="J48" s="17" t="e">
        <f>IF(D48&gt;Inputs!$B$20,0,IF(E48&lt;Inputs!$B$7,(E48*Inputs!$B$8)+(E48*Inputs!$B$9),IF(Inputs!$B$16=Inputs!$B$13,(E48*Inputs!$B$8)+(E48*Inputs!$B$8)-(Inputs!$B$7*(Inputs!$B$8-Inputs!$B$9)),IF(Inputs!$B$16=Inputs!$B$14,(E48*Inputs!$B$8)+(Inputs!$B$7*Inputs!$B$9),IF(Inputs!$B$16=Inputs!$B$15,(Inputs!$B$7*Inputs!$B$8)+(Inputs!$B$7*Inputs!$B$9),0)))))</f>
        <v>#N/A</v>
      </c>
      <c r="L48" s="33">
        <f>IF(A48=123,IF(C48&gt;=Inputs!$B$19,"",L47+12*J48),0)</f>
      </c>
      <c r="M48" s="28"/>
      <c r="N48" s="33">
        <f>IF(A48=123,IF(C48&gt;=Inputs!$B$19,"",N47+(N47+12*J48+L47)*(Inputs!$B$11)),0)</f>
      </c>
      <c r="O48" s="35">
        <f>IF(A48=123,IF(C48&gt;=Inputs!$B$19,"",P47),0)</f>
      </c>
      <c r="P48" s="35">
        <f>IF(A48=123,IF(C48&gt;=Inputs!$B$19,"",(P47+12*J48)*(1+Inputs!$B$11)),0)</f>
      </c>
      <c r="Q48" s="44">
        <f>IF(C48&gt;=Inputs!$B$19,"",R47)</f>
      </c>
      <c r="R48" s="44">
        <f>IF(C48&gt;=Inputs!$B$19,"",(R47+12*J48)*(1+Inputs!$B$11))</f>
      </c>
      <c r="S48" s="17">
        <f>IF(C48&gt;=Inputs!$B$19,"",T47)</f>
      </c>
      <c r="T48" s="17">
        <f>IF(A48=123,IF(C48&gt;=Inputs!$B$19,"",(T47)*(1+Inputs!$B$11)),IF(C47&gt;=Inputs!$B$19,"",(T47+12*J48)*(1+Inputs!$B$11)))</f>
      </c>
      <c r="U48" s="55">
        <f>IF(C47&gt;=Inputs!$B$19,"",V47)</f>
      </c>
      <c r="V48" s="56" t="e">
        <f>IF(C47&gt;=Inputs!$B$19,NA(),(V47+12*I48)*(1+Inputs!$B$11))</f>
        <v>#N/A</v>
      </c>
      <c r="W48" s="55" t="e">
        <f>IF(C47&gt;=Inputs!$B$19,NA(),IF(D48&lt;57,T48-V48,IF(D48&lt;58,90%*T48,T48)))</f>
        <v>#N/A</v>
      </c>
      <c r="X48" s="57">
        <f>IF(E48&lt;Inputs!$B$7,Inputs!$B$10*(Inputs!$B$8-Inputs!$B$9),Inputs!$B$7*(Inputs!$B$8-Inputs!$B$9))</f>
        <v>1249.4999999999998</v>
      </c>
      <c r="Y48" s="58" t="e">
        <f>IF(C47&gt;=Inputs!$B$19,NA(),W48/T48)</f>
        <v>#N/A</v>
      </c>
      <c r="Z48" s="11">
        <f>IF(C47&gt;=Inputs!$B$19,"",AA47)</f>
      </c>
      <c r="AA48" s="11">
        <f>IF(C47&gt;=Inputs!$B$19,"",AA47+12*X48)</f>
      </c>
      <c r="AB48" s="11">
        <f>IF(C47&gt;=Inputs!$B$19,"",12*IF(E48&lt;Inputs!$B$7,1.61%*E48,1.61%*Inputs!$B$7))</f>
      </c>
      <c r="AE48" s="17"/>
      <c r="AL48" s="96">
        <f>IF(C47=58,'efective tax rates'!$K$7,IF(C47&lt;58,-12*J48,""))</f>
      </c>
    </row>
    <row r="49" spans="1:38" ht="14.25">
      <c r="A49" s="51">
        <f>IF(A48=123,123,IF(B49=Inputs!$B$3,123,""))</f>
        <v>123</v>
      </c>
      <c r="B49" s="17">
        <f>IF(B48&gt;=Inputs!$B$19,"",B48+1)</f>
        <v>47</v>
      </c>
      <c r="C49" s="19">
        <f>IF(C48&gt;=Inputs!$B$19,"",C48+1)</f>
      </c>
      <c r="D49" s="7" t="e">
        <f>IF(C48&gt;=Inputs!$B$19,NA(),D48+1)</f>
        <v>#N/A</v>
      </c>
      <c r="E49" s="13">
        <f>IF(C48&gt;=Inputs!$B$19,"",E48*(1+Inputs!$B$18))</f>
      </c>
      <c r="F49" s="18">
        <f>IF(C49&gt;=Inputs!$B$19,"",12*I49)</f>
      </c>
      <c r="G49" s="18" t="e">
        <f>IF(D49&gt;Inputs!$B$20,0,IF(E49&lt;Inputs!$B$7,(E49*Inputs!$B$9),IF(Inputs!$B$16=Inputs!$B$13,(E49*Inputs!$B$8)-(Inputs!$B$7*(Inputs!$B$8-Inputs!$B$9)),IF(Inputs!$B$16=Inputs!$B$14,(Inputs!$B$7*Inputs!$B$9),IF(Inputs!$B$16=Inputs!$B$15,(Inputs!$B$7*Inputs!$B$9),0)))))</f>
        <v>#N/A</v>
      </c>
      <c r="H49" s="18" t="e">
        <f>IF(D49&gt;Inputs!$B$20,0,IF(E49&lt;Inputs!$B$7,(E49*Inputs!$B$8),IF(Inputs!$B$16=Inputs!$B$13,(E49*Inputs!$B$8),IF(Inputs!$B$16=Inputs!$B$14,(E49*Inputs!$B$8),IF(Inputs!$B$16=Inputs!$B$15,(Inputs!$B$7*Inputs!$B$8),0)))))</f>
        <v>#N/A</v>
      </c>
      <c r="I49" s="18" t="e">
        <f t="shared" si="0"/>
        <v>#N/A</v>
      </c>
      <c r="J49" s="17" t="e">
        <f>IF(D49&gt;Inputs!$B$20,0,IF(E49&lt;Inputs!$B$7,(E49*Inputs!$B$8)+(E49*Inputs!$B$9),IF(Inputs!$B$16=Inputs!$B$13,(E49*Inputs!$B$8)+(E49*Inputs!$B$8)-(Inputs!$B$7*(Inputs!$B$8-Inputs!$B$9)),IF(Inputs!$B$16=Inputs!$B$14,(E49*Inputs!$B$8)+(Inputs!$B$7*Inputs!$B$9),IF(Inputs!$B$16=Inputs!$B$15,(Inputs!$B$7*Inputs!$B$8)+(Inputs!$B$7*Inputs!$B$9),0)))))</f>
        <v>#N/A</v>
      </c>
      <c r="L49" s="33">
        <f>IF(A49=123,IF(C49&gt;=Inputs!$B$19,"",L48+12*J49),0)</f>
      </c>
      <c r="M49" s="28"/>
      <c r="N49" s="33">
        <f>IF(A49=123,IF(C49&gt;=Inputs!$B$19,"",N48+(N48+12*J49+L48)*(Inputs!$B$11)),0)</f>
      </c>
      <c r="O49" s="35">
        <f>IF(A49=123,IF(C49&gt;=Inputs!$B$19,"",P48),0)</f>
      </c>
      <c r="P49" s="35">
        <f>IF(A49=123,IF(C49&gt;=Inputs!$B$19,"",(P48+12*J49)*(1+Inputs!$B$11)),0)</f>
      </c>
      <c r="Q49" s="44">
        <f>IF(C49&gt;=Inputs!$B$19,"",R48)</f>
      </c>
      <c r="R49" s="44">
        <f>IF(C49&gt;=Inputs!$B$19,"",(R48+12*J49)*(1+Inputs!$B$11))</f>
      </c>
      <c r="S49" s="17">
        <f>IF(C49&gt;=Inputs!$B$19,"",T48)</f>
      </c>
      <c r="T49" s="17">
        <f>IF(A49=123,IF(C49&gt;=Inputs!$B$19,"",(T48)*(1+Inputs!$B$11)),IF(C48&gt;=Inputs!$B$19,"",(T48+12*J49)*(1+Inputs!$B$11)))</f>
      </c>
      <c r="U49" s="55">
        <f>IF(C48&gt;=Inputs!$B$19,"",V48)</f>
      </c>
      <c r="V49" s="56" t="e">
        <f>IF(C48&gt;=Inputs!$B$19,NA(),(V48+12*I49)*(1+Inputs!$B$11))</f>
        <v>#N/A</v>
      </c>
      <c r="W49" s="55" t="e">
        <f>IF(C48&gt;=Inputs!$B$19,NA(),IF(D49&lt;57,T49-V49,IF(D49&lt;58,90%*T49,T49)))</f>
        <v>#N/A</v>
      </c>
      <c r="X49" s="57">
        <f>IF(E49&lt;Inputs!$B$7,Inputs!$B$10*(Inputs!$B$8-Inputs!$B$9),Inputs!$B$7*(Inputs!$B$8-Inputs!$B$9))</f>
        <v>1249.4999999999998</v>
      </c>
      <c r="Y49" s="58" t="e">
        <f>IF(C48&gt;=Inputs!$B$19,NA(),W49/T49)</f>
        <v>#N/A</v>
      </c>
      <c r="Z49" s="11">
        <f>IF(C48&gt;=Inputs!$B$19,"",AA48)</f>
      </c>
      <c r="AA49" s="11">
        <f>IF(C48&gt;=Inputs!$B$19,"",AA48+12*X49)</f>
      </c>
      <c r="AB49" s="11">
        <f>IF(C48&gt;=Inputs!$B$19,"",12*IF(E49&lt;Inputs!$B$7,1.61%*E49,1.61%*Inputs!$B$7))</f>
      </c>
      <c r="AE49" s="17"/>
      <c r="AL49" s="96">
        <f>IF(C48=58,'efective tax rates'!$K$7,IF(C48&lt;58,-12*J49,""))</f>
      </c>
    </row>
    <row r="50" spans="1:38" ht="14.25">
      <c r="A50" s="51">
        <f>IF(A49=123,123,IF(B50=Inputs!$B$3,123,""))</f>
        <v>123</v>
      </c>
      <c r="B50" s="17">
        <f>IF(B49&gt;=Inputs!$B$19,"",B49+1)</f>
        <v>48</v>
      </c>
      <c r="C50" s="19">
        <f>IF(C49&gt;=Inputs!$B$19,"",C49+1)</f>
      </c>
      <c r="D50" s="7" t="e">
        <f>IF(C49&gt;=Inputs!$B$19,NA(),D49+1)</f>
        <v>#N/A</v>
      </c>
      <c r="E50" s="13">
        <f>IF(C49&gt;=Inputs!$B$19,"",E49*(1+Inputs!$B$18))</f>
      </c>
      <c r="F50" s="18">
        <f>IF(C50&gt;=Inputs!$B$19,"",12*I50)</f>
      </c>
      <c r="G50" s="18" t="e">
        <f>IF(D50&gt;Inputs!$B$20,0,IF(E50&lt;Inputs!$B$7,(E50*Inputs!$B$9),IF(Inputs!$B$16=Inputs!$B$13,(E50*Inputs!$B$8)-(Inputs!$B$7*(Inputs!$B$8-Inputs!$B$9)),IF(Inputs!$B$16=Inputs!$B$14,(Inputs!$B$7*Inputs!$B$9),IF(Inputs!$B$16=Inputs!$B$15,(Inputs!$B$7*Inputs!$B$9),0)))))</f>
        <v>#N/A</v>
      </c>
      <c r="H50" s="18" t="e">
        <f>IF(D50&gt;Inputs!$B$20,0,IF(E50&lt;Inputs!$B$7,(E50*Inputs!$B$8),IF(Inputs!$B$16=Inputs!$B$13,(E50*Inputs!$B$8),IF(Inputs!$B$16=Inputs!$B$14,(E50*Inputs!$B$8),IF(Inputs!$B$16=Inputs!$B$15,(Inputs!$B$7*Inputs!$B$8),0)))))</f>
        <v>#N/A</v>
      </c>
      <c r="I50" s="18" t="e">
        <f t="shared" si="0"/>
        <v>#N/A</v>
      </c>
      <c r="J50" s="17" t="e">
        <f>IF(D50&gt;Inputs!$B$20,0,IF(E50&lt;Inputs!$B$7,(E50*Inputs!$B$8)+(E50*Inputs!$B$9),IF(Inputs!$B$16=Inputs!$B$13,(E50*Inputs!$B$8)+(E50*Inputs!$B$8)-(Inputs!$B$7*(Inputs!$B$8-Inputs!$B$9)),IF(Inputs!$B$16=Inputs!$B$14,(E50*Inputs!$B$8)+(Inputs!$B$7*Inputs!$B$9),IF(Inputs!$B$16=Inputs!$B$15,(Inputs!$B$7*Inputs!$B$8)+(Inputs!$B$7*Inputs!$B$9),0)))))</f>
        <v>#N/A</v>
      </c>
      <c r="L50" s="33">
        <f>IF(A50=123,IF(C50&gt;=Inputs!$B$19,"",L49+12*J50),0)</f>
      </c>
      <c r="M50" s="28"/>
      <c r="N50" s="33">
        <f>IF(A50=123,IF(C50&gt;=Inputs!$B$19,"",N49+(N49+12*J50+L49)*(Inputs!$B$11)),0)</f>
      </c>
      <c r="O50" s="35">
        <f>IF(A50=123,IF(C50&gt;=Inputs!$B$19,"",P49),0)</f>
      </c>
      <c r="P50" s="35">
        <f>IF(A50=123,IF(C50&gt;=Inputs!$B$19,"",(P49+12*J50)*(1+Inputs!$B$11)),0)</f>
      </c>
      <c r="Q50" s="44">
        <f>IF(C50&gt;=Inputs!$B$19,"",R49)</f>
      </c>
      <c r="R50" s="44">
        <f>IF(C50&gt;=Inputs!$B$19,"",(R49+12*J50)*(1+Inputs!$B$11))</f>
      </c>
      <c r="S50" s="17">
        <f>IF(C50&gt;=Inputs!$B$19,"",T49)</f>
      </c>
      <c r="T50" s="17">
        <f>IF(A50=123,IF(C50&gt;=Inputs!$B$19,"",(T49)*(1+Inputs!$B$11)),IF(C49&gt;=Inputs!$B$19,"",(T49+12*J50)*(1+Inputs!$B$11)))</f>
      </c>
      <c r="U50" s="55">
        <f>IF(C49&gt;=Inputs!$B$19,"",V49)</f>
      </c>
      <c r="V50" s="56" t="e">
        <f>IF(C49&gt;=Inputs!$B$19,NA(),(V49+12*I50)*(1+Inputs!$B$11))</f>
        <v>#N/A</v>
      </c>
      <c r="W50" s="55" t="e">
        <f>IF(C49&gt;=Inputs!$B$19,NA(),IF(D50&lt;57,T50-V50,IF(D50&lt;58,90%*T50,T50)))</f>
        <v>#N/A</v>
      </c>
      <c r="X50" s="57">
        <f>IF(E50&lt;Inputs!$B$7,Inputs!$B$10*(Inputs!$B$8-Inputs!$B$9),Inputs!$B$7*(Inputs!$B$8-Inputs!$B$9))</f>
        <v>1249.4999999999998</v>
      </c>
      <c r="Y50" s="58" t="e">
        <f>IF(C49&gt;=Inputs!$B$19,NA(),W50/T50)</f>
        <v>#N/A</v>
      </c>
      <c r="Z50" s="11">
        <f>IF(C49&gt;=Inputs!$B$19,"",AA49)</f>
      </c>
      <c r="AA50" s="11">
        <f>IF(C49&gt;=Inputs!$B$19,"",AA49+12*X50)</f>
      </c>
      <c r="AB50" s="11">
        <f>IF(C49&gt;=Inputs!$B$19,"",12*IF(E50&lt;Inputs!$B$7,1.61%*E50,1.61%*Inputs!$B$7))</f>
      </c>
      <c r="AE50" s="17"/>
      <c r="AL50" s="96">
        <f>IF(C49=58,'efective tax rates'!$K$7,IF(C49&lt;58,-12*J50,""))</f>
      </c>
    </row>
    <row r="51" spans="1:38" ht="14.25">
      <c r="A51" s="51">
        <f>IF(A50=123,123,IF(B51=Inputs!$B$3,123,""))</f>
        <v>123</v>
      </c>
      <c r="B51" s="17">
        <f>IF(B50&gt;=Inputs!$B$19,"",B50+1)</f>
        <v>49</v>
      </c>
      <c r="C51" s="19">
        <f>IF(C50&gt;=Inputs!$B$19,"",C50+1)</f>
      </c>
      <c r="D51" s="7" t="e">
        <f>IF(C50&gt;=Inputs!$B$19,NA(),D50+1)</f>
        <v>#N/A</v>
      </c>
      <c r="E51" s="13">
        <f>IF(C50&gt;=Inputs!$B$19,"",E50*(1+Inputs!$B$18))</f>
      </c>
      <c r="F51" s="18">
        <f>IF(C51&gt;=Inputs!$B$19,"",12*I51)</f>
      </c>
      <c r="G51" s="18" t="e">
        <f>IF(D51&gt;Inputs!$B$20,0,IF(E51&lt;Inputs!$B$7,(E51*Inputs!$B$9),IF(Inputs!$B$16=Inputs!$B$13,(E51*Inputs!$B$8)-(Inputs!$B$7*(Inputs!$B$8-Inputs!$B$9)),IF(Inputs!$B$16=Inputs!$B$14,(Inputs!$B$7*Inputs!$B$9),IF(Inputs!$B$16=Inputs!$B$15,(Inputs!$B$7*Inputs!$B$9),0)))))</f>
        <v>#N/A</v>
      </c>
      <c r="H51" s="18" t="e">
        <f>IF(D51&gt;Inputs!$B$20,0,IF(E51&lt;Inputs!$B$7,(E51*Inputs!$B$8),IF(Inputs!$B$16=Inputs!$B$13,(E51*Inputs!$B$8),IF(Inputs!$B$16=Inputs!$B$14,(E51*Inputs!$B$8),IF(Inputs!$B$16=Inputs!$B$15,(Inputs!$B$7*Inputs!$B$8),0)))))</f>
        <v>#N/A</v>
      </c>
      <c r="I51" s="18" t="e">
        <f t="shared" si="0"/>
        <v>#N/A</v>
      </c>
      <c r="J51" s="17" t="e">
        <f>IF(D51&gt;Inputs!$B$20,0,IF(E51&lt;Inputs!$B$7,(E51*Inputs!$B$8)+(E51*Inputs!$B$9),IF(Inputs!$B$16=Inputs!$B$13,(E51*Inputs!$B$8)+(E51*Inputs!$B$8)-(Inputs!$B$7*(Inputs!$B$8-Inputs!$B$9)),IF(Inputs!$B$16=Inputs!$B$14,(E51*Inputs!$B$8)+(Inputs!$B$7*Inputs!$B$9),IF(Inputs!$B$16=Inputs!$B$15,(Inputs!$B$7*Inputs!$B$8)+(Inputs!$B$7*Inputs!$B$9),0)))))</f>
        <v>#N/A</v>
      </c>
      <c r="L51" s="33">
        <f>IF(A51=123,IF(C51&gt;=Inputs!$B$19,"",L50+12*J51),0)</f>
      </c>
      <c r="M51" s="28"/>
      <c r="N51" s="33">
        <f>IF(A51=123,IF(C51&gt;=Inputs!$B$19,"",N50+(N50+12*J51+L50)*(Inputs!$B$11)),0)</f>
      </c>
      <c r="O51" s="35">
        <f>IF(A51=123,IF(C51&gt;=Inputs!$B$19,"",P50),0)</f>
      </c>
      <c r="P51" s="35">
        <f>IF(A51=123,IF(C51&gt;=Inputs!$B$19,"",(P50+12*J51)*(1+Inputs!$B$11)),0)</f>
      </c>
      <c r="Q51" s="44">
        <f>IF(C51&gt;=Inputs!$B$19,"",R50)</f>
      </c>
      <c r="R51" s="44">
        <f>IF(C51&gt;=Inputs!$B$19,"",(R50+12*J51)*(1+Inputs!$B$11))</f>
      </c>
      <c r="S51" s="17">
        <f>IF(C51&gt;=Inputs!$B$19,"",T50)</f>
      </c>
      <c r="T51" s="17">
        <f>IF(A51=123,IF(C51&gt;=Inputs!$B$19,"",(T50)*(1+Inputs!$B$11)),IF(C50&gt;=Inputs!$B$19,"",(T50+12*J51)*(1+Inputs!$B$11)))</f>
      </c>
      <c r="U51" s="55">
        <f>IF(C50&gt;=Inputs!$B$19,"",V50)</f>
      </c>
      <c r="V51" s="56" t="e">
        <f>IF(C50&gt;=Inputs!$B$19,NA(),(V50+12*I51)*(1+Inputs!$B$11))</f>
        <v>#N/A</v>
      </c>
      <c r="W51" s="55" t="e">
        <f>IF(C50&gt;=Inputs!$B$19,NA(),IF(D51&lt;57,T51-V51,IF(D51&lt;58,90%*T51,T51)))</f>
        <v>#N/A</v>
      </c>
      <c r="X51" s="57">
        <f>IF(E51&lt;Inputs!$B$7,Inputs!$B$10*(Inputs!$B$8-Inputs!$B$9),Inputs!$B$7*(Inputs!$B$8-Inputs!$B$9))</f>
        <v>1249.4999999999998</v>
      </c>
      <c r="Y51" s="58" t="e">
        <f>IF(C50&gt;=Inputs!$B$19,NA(),W51/T51)</f>
        <v>#N/A</v>
      </c>
      <c r="Z51" s="11">
        <f>IF(C50&gt;=Inputs!$B$19,"",AA50)</f>
      </c>
      <c r="AA51" s="11">
        <f>IF(C50&gt;=Inputs!$B$19,"",AA50+12*X51)</f>
      </c>
      <c r="AB51" s="11">
        <f>IF(C50&gt;=Inputs!$B$19,"",12*IF(E51&lt;Inputs!$B$7,1.61%*E51,1.61%*Inputs!$B$7))</f>
      </c>
      <c r="AE51" s="17"/>
      <c r="AL51" s="96">
        <f>IF(C50=58,'efective tax rates'!$K$7,IF(C50&lt;58,-12*J51,""))</f>
      </c>
    </row>
    <row r="52" spans="1:38" ht="14.25">
      <c r="A52" s="51">
        <f>IF(A51=123,123,IF(B52=Inputs!$B$3,123,""))</f>
        <v>123</v>
      </c>
      <c r="B52" s="17">
        <f>IF(B51&gt;=Inputs!$B$19,"",B51+1)</f>
        <v>50</v>
      </c>
      <c r="C52" s="19">
        <f>IF(C51&gt;=Inputs!$B$19,"",C51+1)</f>
      </c>
      <c r="D52" s="7" t="e">
        <f>IF(C51&gt;=Inputs!$B$19,NA(),D51+1)</f>
        <v>#N/A</v>
      </c>
      <c r="E52" s="13">
        <f>IF(C51&gt;=Inputs!$B$19,"",E51*(1+Inputs!$B$18))</f>
      </c>
      <c r="F52" s="18">
        <f>IF(C52&gt;=Inputs!$B$19,"",12*I52)</f>
      </c>
      <c r="G52" s="18" t="e">
        <f>IF(D52&gt;Inputs!$B$20,0,IF(E52&lt;Inputs!$B$7,(E52*Inputs!$B$9),IF(Inputs!$B$16=Inputs!$B$13,(E52*Inputs!$B$8)-(Inputs!$B$7*(Inputs!$B$8-Inputs!$B$9)),IF(Inputs!$B$16=Inputs!$B$14,(Inputs!$B$7*Inputs!$B$9),IF(Inputs!$B$16=Inputs!$B$15,(Inputs!$B$7*Inputs!$B$9),0)))))</f>
        <v>#N/A</v>
      </c>
      <c r="H52" s="18" t="e">
        <f>IF(D52&gt;Inputs!$B$20,0,IF(E52&lt;Inputs!$B$7,(E52*Inputs!$B$8),IF(Inputs!$B$16=Inputs!$B$13,(E52*Inputs!$B$8),IF(Inputs!$B$16=Inputs!$B$14,(E52*Inputs!$B$8),IF(Inputs!$B$16=Inputs!$B$15,(Inputs!$B$7*Inputs!$B$8),0)))))</f>
        <v>#N/A</v>
      </c>
      <c r="I52" s="18" t="e">
        <f t="shared" si="0"/>
        <v>#N/A</v>
      </c>
      <c r="J52" s="17" t="e">
        <f>IF(D52&gt;Inputs!$B$20,0,IF(E52&lt;Inputs!$B$7,(E52*Inputs!$B$8)+(E52*Inputs!$B$9),IF(Inputs!$B$16=Inputs!$B$13,(E52*Inputs!$B$8)+(E52*Inputs!$B$8)-(Inputs!$B$7*(Inputs!$B$8-Inputs!$B$9)),IF(Inputs!$B$16=Inputs!$B$14,(E52*Inputs!$B$8)+(Inputs!$B$7*Inputs!$B$9),IF(Inputs!$B$16=Inputs!$B$15,(Inputs!$B$7*Inputs!$B$8)+(Inputs!$B$7*Inputs!$B$9),0)))))</f>
        <v>#N/A</v>
      </c>
      <c r="L52" s="33">
        <f>IF(A52=123,IF(C52&gt;=Inputs!$B$19,"",L51+12*J52),0)</f>
      </c>
      <c r="M52" s="28"/>
      <c r="N52" s="33">
        <f>IF(A52=123,IF(C52&gt;=Inputs!$B$19,"",N51+(N51+12*J52+L51)*(Inputs!$B$11)),0)</f>
      </c>
      <c r="O52" s="35">
        <f>IF(A52=123,IF(C52&gt;=Inputs!$B$19,"",P51),0)</f>
      </c>
      <c r="P52" s="35">
        <f>IF(A52=123,IF(C52&gt;=Inputs!$B$19,"",(P51+12*J52)*(1+Inputs!$B$11)),0)</f>
      </c>
      <c r="Q52" s="44">
        <f>IF(C52&gt;=Inputs!$B$19,"",R51)</f>
      </c>
      <c r="R52" s="44">
        <f>IF(C52&gt;=Inputs!$B$19,"",(R51+12*J52)*(1+Inputs!$B$11))</f>
      </c>
      <c r="S52" s="17">
        <f>IF(C52&gt;=Inputs!$B$19,"",T51)</f>
      </c>
      <c r="T52" s="17">
        <f>IF(A52=123,IF(C52&gt;=Inputs!$B$19,"",(T51)*(1+Inputs!$B$11)),IF(C51&gt;=Inputs!$B$19,"",(T51+12*J52)*(1+Inputs!$B$11)))</f>
      </c>
      <c r="U52" s="55">
        <f>IF(C51&gt;=Inputs!$B$19,"",V51)</f>
      </c>
      <c r="V52" s="56" t="e">
        <f>IF(C51&gt;=Inputs!$B$19,NA(),(V51+12*I52)*(1+Inputs!$B$11))</f>
        <v>#N/A</v>
      </c>
      <c r="W52" s="55" t="e">
        <f>IF(C51&gt;=Inputs!$B$19,NA(),IF(D52&lt;57,T52-V52,IF(D52&lt;58,90%*T52,T52)))</f>
        <v>#N/A</v>
      </c>
      <c r="X52" s="57">
        <f>IF(E52&lt;Inputs!$B$7,Inputs!$B$10*(Inputs!$B$8-Inputs!$B$9),Inputs!$B$7*(Inputs!$B$8-Inputs!$B$9))</f>
        <v>1249.4999999999998</v>
      </c>
      <c r="Y52" s="58" t="e">
        <f>IF(C51&gt;=Inputs!$B$19,NA(),W52/T52)</f>
        <v>#N/A</v>
      </c>
      <c r="Z52" s="11">
        <f>IF(C51&gt;=Inputs!$B$19,"",AA51)</f>
      </c>
      <c r="AA52" s="11">
        <f>IF(C51&gt;=Inputs!$B$19,"",AA51+12*X52)</f>
      </c>
      <c r="AB52" s="11">
        <f>IF(C51&gt;=Inputs!$B$19,"",12*IF(E52&lt;Inputs!$B$7,1.61%*E52,1.61%*Inputs!$B$7))</f>
      </c>
      <c r="AE52" s="17"/>
      <c r="AL52" s="96">
        <f>IF(C51=58,'efective tax rates'!$K$7,IF(C51&lt;58,-12*J52,""))</f>
      </c>
    </row>
    <row r="53" spans="1:38" ht="14.25">
      <c r="A53" s="51">
        <f>IF(A52=123,123,IF(B53=Inputs!$B$3,123,""))</f>
        <v>123</v>
      </c>
      <c r="B53" s="17">
        <f>IF(B52&gt;=Inputs!$B$19,"",B52+1)</f>
        <v>51</v>
      </c>
      <c r="C53" s="19">
        <f>IF(C52&gt;=Inputs!$B$19,"",C52+1)</f>
      </c>
      <c r="D53" s="7" t="e">
        <f>IF(C52&gt;=Inputs!$B$19,NA(),D52+1)</f>
        <v>#N/A</v>
      </c>
      <c r="E53" s="13">
        <f>IF(C52&gt;=Inputs!$B$19,"",E52*(1+Inputs!$B$18))</f>
      </c>
      <c r="F53" s="18">
        <f>IF(C53&gt;=Inputs!$B$19,"",12*I53)</f>
      </c>
      <c r="G53" s="18" t="e">
        <f>IF(D53&gt;Inputs!$B$20,0,IF(E53&lt;Inputs!$B$7,(E53*Inputs!$B$9),IF(Inputs!$B$16=Inputs!$B$13,(E53*Inputs!$B$8)-(Inputs!$B$7*(Inputs!$B$8-Inputs!$B$9)),IF(Inputs!$B$16=Inputs!$B$14,(Inputs!$B$7*Inputs!$B$9),IF(Inputs!$B$16=Inputs!$B$15,(Inputs!$B$7*Inputs!$B$9),0)))))</f>
        <v>#N/A</v>
      </c>
      <c r="H53" s="18" t="e">
        <f>IF(D53&gt;Inputs!$B$20,0,IF(E53&lt;Inputs!$B$7,(E53*Inputs!$B$8),IF(Inputs!$B$16=Inputs!$B$13,(E53*Inputs!$B$8),IF(Inputs!$B$16=Inputs!$B$14,(E53*Inputs!$B$8),IF(Inputs!$B$16=Inputs!$B$15,(Inputs!$B$7*Inputs!$B$8),0)))))</f>
        <v>#N/A</v>
      </c>
      <c r="I53" s="18" t="e">
        <f t="shared" si="0"/>
        <v>#N/A</v>
      </c>
      <c r="J53" s="17" t="e">
        <f>IF(D53&gt;Inputs!$B$20,0,IF(E53&lt;Inputs!$B$7,(E53*Inputs!$B$8)+(E53*Inputs!$B$9),IF(Inputs!$B$16=Inputs!$B$13,(E53*Inputs!$B$8)+(E53*Inputs!$B$8)-(Inputs!$B$7*(Inputs!$B$8-Inputs!$B$9)),IF(Inputs!$B$16=Inputs!$B$14,(E53*Inputs!$B$8)+(Inputs!$B$7*Inputs!$B$9),IF(Inputs!$B$16=Inputs!$B$15,(Inputs!$B$7*Inputs!$B$8)+(Inputs!$B$7*Inputs!$B$9),0)))))</f>
        <v>#N/A</v>
      </c>
      <c r="L53" s="33">
        <f>IF(A53=123,IF(C53&gt;=Inputs!$B$19,"",L52+12*J53),0)</f>
      </c>
      <c r="M53" s="28"/>
      <c r="N53" s="33">
        <f>IF(A53=123,IF(C53&gt;=Inputs!$B$19,"",N52+(N52+12*J53+L52)*(Inputs!$B$11)),0)</f>
      </c>
      <c r="O53" s="35">
        <f>IF(A53=123,IF(C53&gt;=Inputs!$B$19,"",P52),0)</f>
      </c>
      <c r="P53" s="35">
        <f>IF(A53=123,IF(C53&gt;=Inputs!$B$19,"",(P52+12*J53)*(1+Inputs!$B$11)),0)</f>
      </c>
      <c r="Q53" s="44">
        <f>IF(C53&gt;=Inputs!$B$19,"",R52)</f>
      </c>
      <c r="R53" s="44">
        <f>IF(C53&gt;=Inputs!$B$19,"",(R52+12*J53)*(1+Inputs!$B$11))</f>
      </c>
      <c r="S53" s="17">
        <f>IF(C53&gt;=Inputs!$B$19,"",T52)</f>
      </c>
      <c r="T53" s="17">
        <f>IF(A53=123,IF(C53&gt;=Inputs!$B$19,"",(T52)*(1+Inputs!$B$11)),IF(C52&gt;=Inputs!$B$19,"",(T52+12*J53)*(1+Inputs!$B$11)))</f>
      </c>
      <c r="U53" s="55">
        <f>IF(C52&gt;=Inputs!$B$19,"",V52)</f>
      </c>
      <c r="V53" s="56" t="e">
        <f>IF(C52&gt;=Inputs!$B$19,NA(),(V52+12*I53)*(1+Inputs!$B$11))</f>
        <v>#N/A</v>
      </c>
      <c r="W53" s="55" t="e">
        <f>IF(C52&gt;=Inputs!$B$19,NA(),IF(D53&lt;57,T53-V53,IF(D53&lt;58,90%*T53,T53)))</f>
        <v>#N/A</v>
      </c>
      <c r="X53" s="57">
        <f>IF(E53&lt;Inputs!$B$7,Inputs!$B$10*(Inputs!$B$8-Inputs!$B$9),Inputs!$B$7*(Inputs!$B$8-Inputs!$B$9))</f>
        <v>1249.4999999999998</v>
      </c>
      <c r="Y53" s="58" t="e">
        <f>IF(C52&gt;=Inputs!$B$19,NA(),W53/T53)</f>
        <v>#N/A</v>
      </c>
      <c r="Z53" s="11">
        <f>IF(C52&gt;=Inputs!$B$19,"",AA52)</f>
      </c>
      <c r="AA53" s="11">
        <f>IF(C52&gt;=Inputs!$B$19,"",AA52+12*X53)</f>
      </c>
      <c r="AB53" s="11">
        <f>IF(C52&gt;=Inputs!$B$19,"",12*IF(E53&lt;Inputs!$B$7,1.61%*E53,1.61%*Inputs!$B$7))</f>
      </c>
      <c r="AE53" s="17"/>
      <c r="AL53" s="96">
        <f>IF(C52=58,'efective tax rates'!$K$7,IF(C52&lt;58,-12*J53,""))</f>
      </c>
    </row>
  </sheetData>
  <sheetProtection/>
  <mergeCells count="6">
    <mergeCell ref="H1:J1"/>
    <mergeCell ref="S1:T1"/>
    <mergeCell ref="Z1:AA1"/>
    <mergeCell ref="U1:V1"/>
    <mergeCell ref="AK1:AK2"/>
    <mergeCell ref="AL1:AL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="160" zoomScaleNormal="160" zoomScalePageLayoutView="0" workbookViewId="0" topLeftCell="A1">
      <selection activeCell="B3" sqref="B3:B6"/>
    </sheetView>
  </sheetViews>
  <sheetFormatPr defaultColWidth="9.140625" defaultRowHeight="15"/>
  <cols>
    <col min="1" max="1" width="39.57421875" style="0" bestFit="1" customWidth="1"/>
    <col min="2" max="5" width="12.00390625" style="0" bestFit="1" customWidth="1"/>
    <col min="7" max="7" width="12.00390625" style="0" hidden="1" customWidth="1"/>
    <col min="8" max="8" width="0" style="0" hidden="1" customWidth="1"/>
    <col min="9" max="9" width="12.00390625" style="0" hidden="1" customWidth="1"/>
    <col min="10" max="10" width="0" style="0" hidden="1" customWidth="1"/>
    <col min="11" max="11" width="10.00390625" style="0" hidden="1" customWidth="1"/>
  </cols>
  <sheetData>
    <row r="1" spans="2:5" ht="14.25">
      <c r="B1" s="138" t="s">
        <v>41</v>
      </c>
      <c r="C1" s="138"/>
      <c r="D1" s="138"/>
      <c r="E1" s="138"/>
    </row>
    <row r="2" spans="1:5" ht="14.25">
      <c r="A2" s="46" t="s">
        <v>42</v>
      </c>
      <c r="B2" s="46" t="s">
        <v>43</v>
      </c>
      <c r="C2" s="47">
        <v>0.103</v>
      </c>
      <c r="D2" s="47">
        <v>0.206</v>
      </c>
      <c r="E2" s="47">
        <v>0.309</v>
      </c>
    </row>
    <row r="3" spans="1:7" ht="14.25">
      <c r="A3" t="s">
        <v>65</v>
      </c>
      <c r="B3" s="48">
        <f>G3</f>
        <v>5303701.513607944</v>
      </c>
      <c r="C3" s="48">
        <f aca="true" t="shared" si="0" ref="C3:E5">B3</f>
        <v>5303701.513607944</v>
      </c>
      <c r="D3" s="48">
        <f t="shared" si="0"/>
        <v>5303701.513607944</v>
      </c>
      <c r="E3" s="48">
        <f t="shared" si="0"/>
        <v>5303701.513607944</v>
      </c>
      <c r="G3">
        <f>INDEX('Contribution schedule'!A3:T53,MATCH(58,'Contribution schedule'!C3:C53,0),20)</f>
        <v>5303701.513607944</v>
      </c>
    </row>
    <row r="4" spans="1:7" ht="14.25">
      <c r="A4" t="s">
        <v>44</v>
      </c>
      <c r="B4" s="48">
        <f>G4</f>
        <v>11944273.68707771</v>
      </c>
      <c r="C4" s="48">
        <f t="shared" si="0"/>
        <v>11944273.68707771</v>
      </c>
      <c r="D4" s="48">
        <f t="shared" si="0"/>
        <v>11944273.68707771</v>
      </c>
      <c r="E4" s="48">
        <f t="shared" si="0"/>
        <v>11944273.68707771</v>
      </c>
      <c r="G4">
        <f>INDEX('Contribution schedule'!A3:T53,MATCH(58,'Contribution schedule'!C3:C53,0),12)</f>
        <v>11944273.68707771</v>
      </c>
    </row>
    <row r="5" spans="1:7" ht="14.25">
      <c r="A5" t="s">
        <v>45</v>
      </c>
      <c r="B5" s="48">
        <f>40%*G5</f>
        <v>12488209.837307556</v>
      </c>
      <c r="C5" s="48">
        <f t="shared" si="0"/>
        <v>12488209.837307556</v>
      </c>
      <c r="D5" s="48">
        <f t="shared" si="0"/>
        <v>12488209.837307556</v>
      </c>
      <c r="E5" s="48">
        <f t="shared" si="0"/>
        <v>12488209.837307556</v>
      </c>
      <c r="G5">
        <f>INDEX('Contribution schedule'!A3:T53,MATCH(58,'Contribution schedule'!C3:C53,0),14)</f>
        <v>31220524.593268886</v>
      </c>
    </row>
    <row r="6" spans="1:5" ht="14.25">
      <c r="A6" t="s">
        <v>46</v>
      </c>
      <c r="B6" s="48">
        <f>60%*G5</f>
        <v>18732314.755961332</v>
      </c>
      <c r="C6" s="48">
        <f>$B$6*(1-C2)</f>
        <v>16802886.336097315</v>
      </c>
      <c r="D6" s="48">
        <f>$B$6*(1-D2)</f>
        <v>14873457.9162333</v>
      </c>
      <c r="E6" s="48">
        <f>$B$6*(1-E2)</f>
        <v>12944029.496369282</v>
      </c>
    </row>
    <row r="7" ht="14.25">
      <c r="K7">
        <f>IF(Inputs!N1=2,'efective tax rates'!I8,'efective tax rates'!I16)</f>
        <v>42680214.53436249</v>
      </c>
    </row>
    <row r="8" spans="1:11" ht="14.25">
      <c r="A8" s="46" t="s">
        <v>47</v>
      </c>
      <c r="B8" s="48">
        <f>SUM(B3:B6)</f>
        <v>48468499.79395454</v>
      </c>
      <c r="C8" s="48">
        <f>SUM(C3:C6)</f>
        <v>46539071.37409052</v>
      </c>
      <c r="D8" s="48">
        <f>SUM(D3:D6)</f>
        <v>44609642.95422651</v>
      </c>
      <c r="E8" s="48">
        <f>SUM(E3:E6)</f>
        <v>42680214.53436249</v>
      </c>
      <c r="G8">
        <f>INDEX('Contribution schedule'!A3:T53,MATCH(58,'Contribution schedule'!C3:C53,0),18)</f>
        <v>48468499.793954626</v>
      </c>
      <c r="I8" s="53">
        <f>IF(Inputs!E2=0%,'efective tax rates'!B8,IF(Inputs!E2='efective tax rates'!C2,'efective tax rates'!C8,IF(Inputs!E2='efective tax rates'!D2,'efective tax rates'!D8,IF(Inputs!E2='efective tax rates'!E2,'efective tax rates'!E8,0))))</f>
        <v>42680214.53436249</v>
      </c>
      <c r="K8">
        <f>IF(Inputs!N1=2,'efective tax rates'!I9,'efective tax rates'!I17)</f>
        <v>0.11942365214930828</v>
      </c>
    </row>
    <row r="9" spans="7:9" ht="14.25">
      <c r="G9" s="54">
        <f>B8-G8</f>
        <v>-8.940696716308594E-08</v>
      </c>
      <c r="I9" s="84">
        <f>IF(Inputs!E2=0%,0%,IF(Inputs!E2='efective tax rates'!C2,'efective tax rates'!C10,IF(Inputs!E2='efective tax rates'!D2,'efective tax rates'!D10,IF(Inputs!E2='efective tax rates'!E2,'efective tax rates'!E10,0))))</f>
        <v>0.11942365214930828</v>
      </c>
    </row>
    <row r="10" spans="1:5" ht="14.25">
      <c r="A10" s="46" t="s">
        <v>48</v>
      </c>
      <c r="C10" s="49">
        <f>1-(C8/$B$8)</f>
        <v>0.039807884049769426</v>
      </c>
      <c r="D10" s="49">
        <f>1-(D8/$B$8)</f>
        <v>0.07961576809953874</v>
      </c>
      <c r="E10" s="49">
        <f>1-(E8/$B$8)</f>
        <v>0.11942365214930828</v>
      </c>
    </row>
    <row r="11" spans="4:5" ht="14.25">
      <c r="D11" s="50"/>
      <c r="E11" s="50"/>
    </row>
    <row r="12" spans="2:5" ht="14.25">
      <c r="B12" s="138" t="s">
        <v>41</v>
      </c>
      <c r="C12" s="138"/>
      <c r="D12" s="138"/>
      <c r="E12" s="138"/>
    </row>
    <row r="13" spans="1:5" ht="14.25">
      <c r="A13" s="46" t="s">
        <v>49</v>
      </c>
      <c r="B13" s="46" t="s">
        <v>43</v>
      </c>
      <c r="C13" s="50">
        <v>0.103</v>
      </c>
      <c r="D13" s="50">
        <v>0.206</v>
      </c>
      <c r="E13" s="50">
        <v>0.309</v>
      </c>
    </row>
    <row r="14" spans="1:5" ht="14.25">
      <c r="A14" t="s">
        <v>65</v>
      </c>
      <c r="B14" s="48">
        <f>G3</f>
        <v>5303701.513607944</v>
      </c>
      <c r="C14" s="48">
        <f aca="true" t="shared" si="1" ref="C14:E15">B14</f>
        <v>5303701.513607944</v>
      </c>
      <c r="D14" s="48">
        <f t="shared" si="1"/>
        <v>5303701.513607944</v>
      </c>
      <c r="E14" s="48">
        <f t="shared" si="1"/>
        <v>5303701.513607944</v>
      </c>
    </row>
    <row r="15" spans="1:5" ht="14.25">
      <c r="A15" t="s">
        <v>50</v>
      </c>
      <c r="B15" s="48">
        <f>40%*G4</f>
        <v>4777709.474831085</v>
      </c>
      <c r="C15" s="48">
        <f t="shared" si="1"/>
        <v>4777709.474831085</v>
      </c>
      <c r="D15" s="48">
        <f t="shared" si="1"/>
        <v>4777709.474831085</v>
      </c>
      <c r="E15" s="48">
        <f t="shared" si="1"/>
        <v>4777709.474831085</v>
      </c>
    </row>
    <row r="16" spans="1:9" ht="14.25">
      <c r="A16" t="s">
        <v>51</v>
      </c>
      <c r="B16" s="48">
        <f>60%*G4</f>
        <v>7166564.212246626</v>
      </c>
      <c r="C16" s="48">
        <f>$B$16*(1-C13)</f>
        <v>6428408.098385223</v>
      </c>
      <c r="D16" s="48">
        <f>$B$16*(1-D13)</f>
        <v>5690251.984523821</v>
      </c>
      <c r="E16" s="48">
        <f>$B$16*(1-E13)</f>
        <v>4952095.870662419</v>
      </c>
      <c r="I16">
        <f>IF(Inputs!E2=0%,'efective tax rates'!B20,IF(Inputs!E2='efective tax rates'!C2,'efective tax rates'!C20,IF(Inputs!E2='efective tax rates'!D2,'efective tax rates'!D20,IF(Inputs!E2='efective tax rates'!E2,'efective tax rates'!E20,0))))</f>
        <v>40465746.19277828</v>
      </c>
    </row>
    <row r="17" spans="1:9" ht="14.25">
      <c r="A17" t="s">
        <v>45</v>
      </c>
      <c r="B17" s="48">
        <f>40%*G5</f>
        <v>12488209.837307556</v>
      </c>
      <c r="C17" s="48">
        <f>B17</f>
        <v>12488209.837307556</v>
      </c>
      <c r="D17" s="48">
        <f>C17</f>
        <v>12488209.837307556</v>
      </c>
      <c r="E17" s="48">
        <f>D17</f>
        <v>12488209.837307556</v>
      </c>
      <c r="I17" s="84">
        <f>IF(Inputs!E2=0%,0%,IF(Inputs!E2='efective tax rates'!C2,'efective tax rates'!C22,IF(Inputs!E2='efective tax rates'!D2,'efective tax rates'!D22,IF(Inputs!E2='efective tax rates'!E2,'efective tax rates'!E22,0))))</f>
        <v>0.16511246758610088</v>
      </c>
    </row>
    <row r="18" spans="1:5" ht="14.25">
      <c r="A18" t="s">
        <v>46</v>
      </c>
      <c r="B18" s="48">
        <f>60%*G5</f>
        <v>18732314.755961332</v>
      </c>
      <c r="C18" s="48">
        <f>$B$18*(1-C13)</f>
        <v>16802886.336097315</v>
      </c>
      <c r="D18" s="48">
        <f>$B$18*(1-D13)</f>
        <v>14873457.9162333</v>
      </c>
      <c r="E18" s="48">
        <f>$B$18*(1-E13)</f>
        <v>12944029.496369282</v>
      </c>
    </row>
    <row r="19" spans="2:5" ht="14.25">
      <c r="B19" s="48"/>
      <c r="C19" s="48"/>
      <c r="D19" s="48"/>
      <c r="E19" s="48"/>
    </row>
    <row r="20" spans="1:5" ht="14.25">
      <c r="A20" s="46" t="s">
        <v>47</v>
      </c>
      <c r="B20" s="48">
        <f>SUM(B14:B18)</f>
        <v>48468499.79395454</v>
      </c>
      <c r="C20" s="48">
        <f>SUM(C14:C18)</f>
        <v>45800915.260229126</v>
      </c>
      <c r="D20" s="48">
        <f>SUM(D14:D18)</f>
        <v>43133330.72650371</v>
      </c>
      <c r="E20" s="48">
        <f>SUM(E14:E18)</f>
        <v>40465746.19277828</v>
      </c>
    </row>
    <row r="22" spans="1:5" ht="14.25">
      <c r="A22" s="46" t="s">
        <v>48</v>
      </c>
      <c r="C22" s="49">
        <f>1-(C20/$B$20)</f>
        <v>0.05503748919536677</v>
      </c>
      <c r="D22" s="49">
        <f>1-(D20/$B$20)</f>
        <v>0.11007497839073377</v>
      </c>
      <c r="E22" s="49">
        <f>1-(E20/$B$20)</f>
        <v>0.16511246758610088</v>
      </c>
    </row>
  </sheetData>
  <sheetProtection/>
  <mergeCells count="2">
    <mergeCell ref="B1:E1"/>
    <mergeCell ref="B12:E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pattabiraman</cp:lastModifiedBy>
  <dcterms:created xsi:type="dcterms:W3CDTF">2015-06-10T08:27:43Z</dcterms:created>
  <dcterms:modified xsi:type="dcterms:W3CDTF">2016-03-02T09:51:44Z</dcterms:modified>
  <cp:category/>
  <cp:version/>
  <cp:contentType/>
  <cp:contentStatus/>
</cp:coreProperties>
</file>