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6" windowWidth="16536" windowHeight="9432"/>
  </bookViews>
  <sheets>
    <sheet name="Calculator" sheetId="3" r:id="rId1"/>
    <sheet name="LIC Surrender value chart" sheetId="1" r:id="rId2"/>
    <sheet name="LIC surrender value selector" sheetId="2" r:id="rId3"/>
  </sheets>
  <definedNames>
    <definedName name="ppaid">'LIC surrender value selector'!$U$3</definedName>
    <definedName name="pppaid">'LIC surrender value selector'!$U$3</definedName>
    <definedName name="Suma">Calculator!$B$9</definedName>
    <definedName name="svf">'LIC surrender value selector'!$U$5</definedName>
    <definedName name="term">'LIC surrender value selector'!$U$2</definedName>
    <definedName name="term10">'LIC surrender value selector'!$L$1</definedName>
    <definedName name="term11">'LIC surrender value selector'!$N$1</definedName>
    <definedName name="term12">'LIC surrender value selector'!$P$1</definedName>
    <definedName name="term13">'LIC surrender value selector'!$R$1</definedName>
    <definedName name="term14">'LIC surrender value selector'!$B$16</definedName>
    <definedName name="term15">'LIC surrender value selector'!$D$16</definedName>
    <definedName name="term15\">'LIC surrender value selector'!$D$16</definedName>
    <definedName name="term16">'LIC surrender value selector'!$F$16</definedName>
    <definedName name="term17">'LIC surrender value selector'!$H$16</definedName>
    <definedName name="term18">'LIC surrender value selector'!$J$16</definedName>
    <definedName name="term19">'LIC surrender value selector'!$L$16</definedName>
    <definedName name="term20">'LIC surrender value selector'!$N$16</definedName>
    <definedName name="term21">'LIC surrender value selector'!$P$16</definedName>
    <definedName name="term22">'LIC surrender value selector'!$R$16</definedName>
    <definedName name="term23">'LIC surrender value selector'!$B$38</definedName>
    <definedName name="term24">'LIC surrender value selector'!$D$38</definedName>
    <definedName name="term25">'LIC surrender value selector'!$F$38</definedName>
    <definedName name="term26">'LIC surrender value selector'!$H$38</definedName>
    <definedName name="term27">'LIC surrender value selector'!$J$38</definedName>
    <definedName name="term28">'LIC surrender value selector'!$L$38</definedName>
    <definedName name="term29">'LIC surrender value selector'!$N$38</definedName>
    <definedName name="term30">'LIC surrender value selector'!$P$38</definedName>
    <definedName name="term5">'LIC surrender value selector'!$B$1</definedName>
    <definedName name="term6">'LIC surrender value selector'!$D$1</definedName>
    <definedName name="term7">'LIC surrender value selector'!$F$1</definedName>
    <definedName name="term8">'LIC surrender value selector'!$H$1</definedName>
    <definedName name="term9">'LIC surrender value selector'!$J$1</definedName>
    <definedName name="ypaid">Calculator!$B$8</definedName>
  </definedNames>
  <calcPr calcId="124519"/>
</workbook>
</file>

<file path=xl/calcChain.xml><?xml version="1.0" encoding="utf-8"?>
<calcChain xmlns="http://schemas.openxmlformats.org/spreadsheetml/2006/main">
  <c r="B49" i="3"/>
  <c r="B6"/>
  <c r="B21" s="1"/>
  <c r="D19"/>
  <c r="D20" s="1"/>
  <c r="F18"/>
  <c r="F19"/>
  <c r="B33"/>
  <c r="B48" s="1"/>
  <c r="B51" s="1"/>
  <c r="B26"/>
  <c r="U3" i="2"/>
  <c r="O27" s="1"/>
  <c r="U2"/>
  <c r="O42" s="1"/>
  <c r="C4" i="1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Q4" i="2"/>
  <c r="S27"/>
  <c r="I42"/>
  <c r="Q63"/>
  <c r="C6"/>
  <c r="K12"/>
  <c r="C21"/>
  <c r="K31"/>
  <c r="S25"/>
  <c r="G49"/>
  <c r="M60"/>
  <c r="I24"/>
  <c r="Q25"/>
  <c r="K11"/>
  <c r="K41"/>
  <c r="M61"/>
  <c r="M44"/>
  <c r="S22"/>
  <c r="C22"/>
  <c r="I7"/>
  <c r="K26"/>
  <c r="G40"/>
  <c r="G3"/>
  <c r="K46"/>
  <c r="O59"/>
  <c r="O60"/>
  <c r="K43"/>
  <c r="E46"/>
  <c r="Q17"/>
  <c r="I22"/>
  <c r="Q7"/>
  <c r="G5"/>
  <c r="G11"/>
  <c r="S5"/>
  <c r="K18"/>
  <c r="Q27"/>
  <c r="E52"/>
  <c r="K49"/>
  <c r="C4"/>
  <c r="M62"/>
  <c r="K45"/>
  <c r="G60"/>
  <c r="E48"/>
  <c r="S36"/>
  <c r="Q23"/>
  <c r="M29"/>
  <c r="I28"/>
  <c r="E23"/>
  <c r="Q13"/>
  <c r="M3"/>
  <c r="G7"/>
  <c r="C10"/>
  <c r="G9"/>
  <c r="M5"/>
  <c r="Q11"/>
  <c r="E21"/>
  <c r="I26"/>
  <c r="M27"/>
  <c r="Q21"/>
  <c r="S34"/>
  <c r="E50"/>
  <c r="I39"/>
  <c r="K47"/>
  <c r="M40"/>
  <c r="M56"/>
  <c r="O48"/>
  <c r="O64"/>
  <c r="Q53"/>
  <c r="Q62"/>
  <c r="Q46"/>
  <c r="O55"/>
  <c r="O39"/>
  <c r="M49"/>
  <c r="K58"/>
  <c r="K42"/>
  <c r="I48"/>
  <c r="G53"/>
  <c r="E59"/>
  <c r="E43"/>
  <c r="C48"/>
  <c r="S29"/>
  <c r="Q34"/>
  <c r="Q18"/>
  <c r="O20"/>
  <c r="M20"/>
  <c r="K19"/>
  <c r="I19"/>
  <c r="G18"/>
  <c r="C25"/>
  <c r="S8"/>
  <c r="Q6"/>
  <c r="O4"/>
  <c r="M2"/>
  <c r="I14"/>
  <c r="G12"/>
  <c r="E10"/>
  <c r="C8"/>
  <c r="Q59"/>
  <c r="E45"/>
  <c r="O50"/>
  <c r="Q55"/>
  <c r="O41"/>
  <c r="C46"/>
  <c r="Q40"/>
  <c r="M43"/>
  <c r="G47"/>
  <c r="O45"/>
  <c r="M39"/>
  <c r="I54"/>
  <c r="G43"/>
  <c r="C54"/>
  <c r="Q24"/>
  <c r="S31"/>
  <c r="M22"/>
  <c r="Q20"/>
  <c r="E20"/>
  <c r="M26"/>
  <c r="S14"/>
  <c r="K17"/>
  <c r="S6"/>
  <c r="I12"/>
  <c r="G20"/>
  <c r="S10"/>
  <c r="O6"/>
  <c r="K2"/>
  <c r="G14"/>
  <c r="G6"/>
  <c r="M31"/>
  <c r="G28"/>
  <c r="I55"/>
  <c r="G46"/>
  <c r="C53"/>
  <c r="S18"/>
  <c r="O25"/>
  <c r="K28"/>
  <c r="G23"/>
  <c r="C18"/>
  <c r="O9"/>
  <c r="I13"/>
  <c r="E5"/>
  <c r="E3"/>
  <c r="I11"/>
  <c r="O7"/>
  <c r="C20"/>
  <c r="G25"/>
  <c r="K30"/>
  <c r="S20"/>
  <c r="C51"/>
  <c r="G44"/>
  <c r="I53"/>
  <c r="K61"/>
  <c r="Q51"/>
  <c r="O46"/>
  <c r="I41"/>
  <c r="C39"/>
  <c r="M33"/>
  <c r="E27"/>
  <c r="M7"/>
  <c r="E4"/>
  <c r="K13"/>
  <c r="E17"/>
  <c r="M23"/>
  <c r="S30"/>
  <c r="G58"/>
  <c r="M52"/>
  <c r="Q65"/>
  <c r="M53"/>
  <c r="G13"/>
  <c r="K57"/>
  <c r="Q35"/>
  <c r="S13"/>
  <c r="K5"/>
  <c r="K32"/>
  <c r="G50"/>
  <c r="Q57"/>
  <c r="M54"/>
  <c r="M25"/>
  <c r="S3"/>
  <c r="K51"/>
  <c r="E25"/>
  <c r="M45"/>
  <c r="E39"/>
  <c r="G30"/>
  <c r="Q2"/>
  <c r="G8"/>
  <c r="M50"/>
  <c r="Q48"/>
  <c r="M47"/>
  <c r="G24"/>
  <c r="Q10"/>
  <c r="O57"/>
  <c r="E8"/>
  <c r="M63"/>
  <c r="G51"/>
  <c r="M9"/>
  <c r="Q22"/>
  <c r="G55"/>
  <c r="S12"/>
  <c r="I25"/>
  <c r="C52"/>
  <c r="M12"/>
  <c r="K29"/>
  <c r="C23"/>
  <c r="O51"/>
  <c r="E47"/>
  <c r="I23"/>
  <c r="I2"/>
  <c r="G39"/>
  <c r="S17"/>
  <c r="Q43"/>
  <c r="K56"/>
  <c r="M8"/>
  <c r="E24"/>
  <c r="E14"/>
  <c r="I4"/>
  <c r="S2"/>
  <c r="I17"/>
  <c r="S35"/>
  <c r="Q60"/>
  <c r="K44"/>
  <c r="O8"/>
  <c r="K52"/>
  <c r="I46"/>
  <c r="S23"/>
  <c r="M18"/>
  <c r="K14"/>
  <c r="C19"/>
  <c r="O14"/>
  <c r="K10"/>
  <c r="G10"/>
  <c r="C14"/>
  <c r="G22"/>
  <c r="I60"/>
  <c r="I29"/>
  <c r="O10"/>
  <c r="Q12"/>
  <c r="E57"/>
  <c r="E53"/>
  <c r="O61"/>
  <c r="K4"/>
  <c r="K23"/>
  <c r="G41"/>
  <c r="Q64"/>
  <c r="Q47"/>
  <c r="C12"/>
  <c r="M6"/>
  <c r="E18"/>
  <c r="M24"/>
  <c r="S33"/>
  <c r="G57"/>
  <c r="Q9"/>
  <c r="I43"/>
  <c r="Q19"/>
  <c r="K25"/>
  <c r="Q28"/>
  <c r="C42"/>
  <c r="E41"/>
  <c r="K40"/>
  <c r="S19"/>
  <c r="M59"/>
  <c r="K60"/>
  <c r="O58"/>
  <c r="Q44"/>
  <c r="E6"/>
  <c r="I10"/>
  <c r="M14"/>
  <c r="S4"/>
  <c r="E26"/>
  <c r="I31"/>
  <c r="M32"/>
  <c r="Q30"/>
  <c r="C44"/>
  <c r="E55"/>
  <c r="I44"/>
  <c r="Q58"/>
  <c r="C41"/>
  <c r="C11"/>
  <c r="E44"/>
  <c r="E54"/>
  <c r="I30"/>
  <c r="E9"/>
  <c r="E19"/>
  <c r="S32"/>
  <c r="G56"/>
  <c r="K54"/>
  <c r="Q42"/>
  <c r="O52"/>
  <c r="I59"/>
  <c r="C57"/>
  <c r="G27"/>
  <c r="O13"/>
  <c r="C5"/>
  <c r="O3"/>
  <c r="G21"/>
  <c r="C47"/>
  <c r="I49"/>
  <c r="O62"/>
  <c r="G2"/>
  <c r="I52"/>
  <c r="K62"/>
  <c r="O43"/>
  <c r="Q50"/>
  <c r="Q49"/>
  <c r="O44"/>
  <c r="K59"/>
  <c r="I51"/>
  <c r="G42"/>
  <c r="C49"/>
  <c r="Q33"/>
  <c r="K24"/>
  <c r="G19"/>
  <c r="S11"/>
  <c r="O5"/>
  <c r="I9"/>
  <c r="C13"/>
  <c r="E7"/>
  <c r="K3"/>
  <c r="O11"/>
  <c r="C24"/>
  <c r="G29"/>
  <c r="M17"/>
  <c r="S24"/>
  <c r="C55"/>
  <c r="G48"/>
  <c r="I57"/>
  <c r="M42"/>
  <c r="C3"/>
  <c r="O53"/>
  <c r="O54"/>
  <c r="M46"/>
  <c r="K53"/>
  <c r="I61"/>
  <c r="I45"/>
  <c r="G52"/>
  <c r="E56"/>
  <c r="E40"/>
  <c r="C43"/>
  <c r="S28"/>
  <c r="Q31"/>
  <c r="O35"/>
  <c r="M21"/>
  <c r="K22"/>
  <c r="I20"/>
  <c r="G17"/>
  <c r="C28"/>
  <c r="S9"/>
  <c r="Q5"/>
  <c r="M11"/>
  <c r="K7"/>
  <c r="I3"/>
  <c r="E11"/>
  <c r="C7"/>
  <c r="C9"/>
  <c r="E13"/>
  <c r="I5"/>
  <c r="K9"/>
  <c r="M13"/>
  <c r="Q3"/>
  <c r="S7"/>
  <c r="C26"/>
  <c r="E29"/>
  <c r="I18"/>
  <c r="K20"/>
  <c r="M19"/>
  <c r="Q29"/>
  <c r="S26"/>
  <c r="C45"/>
  <c r="E42"/>
  <c r="E58"/>
  <c r="G54"/>
  <c r="I47"/>
  <c r="K39"/>
  <c r="K55"/>
  <c r="M48"/>
  <c r="O40"/>
  <c r="O56"/>
  <c r="Q45"/>
  <c r="Q61"/>
  <c r="Q54"/>
  <c r="O63"/>
  <c r="O47"/>
  <c r="M57"/>
  <c r="M41"/>
  <c r="K50"/>
  <c r="I56"/>
  <c r="I40"/>
  <c r="G45"/>
  <c r="E51"/>
  <c r="C56"/>
  <c r="C40"/>
  <c r="S21"/>
  <c r="Q26"/>
  <c r="M28"/>
  <c r="K27"/>
  <c r="I27"/>
  <c r="G26"/>
  <c r="E22"/>
  <c r="C17"/>
  <c r="Q14"/>
  <c r="O12"/>
  <c r="M10"/>
  <c r="K8"/>
  <c r="I6"/>
  <c r="G4"/>
  <c r="E2"/>
  <c r="C2"/>
  <c r="M51"/>
  <c r="M58"/>
  <c r="Q39"/>
  <c r="Q52"/>
  <c r="I50"/>
  <c r="Q56"/>
  <c r="O49"/>
  <c r="I58"/>
  <c r="C58"/>
  <c r="M55"/>
  <c r="K48"/>
  <c r="G59"/>
  <c r="E49"/>
  <c r="C50"/>
  <c r="Q32"/>
  <c r="Q36"/>
  <c r="M30"/>
  <c r="K21"/>
  <c r="K6"/>
  <c r="E28"/>
  <c r="O2"/>
  <c r="I21"/>
  <c r="C27"/>
  <c r="Q8"/>
  <c r="M4"/>
  <c r="I8"/>
  <c r="E12"/>
  <c r="G37"/>
  <c r="I15" l="1"/>
  <c r="G15"/>
  <c r="O22"/>
  <c r="O28"/>
  <c r="I37"/>
  <c r="E66"/>
  <c r="C37"/>
  <c r="O15"/>
  <c r="M37"/>
  <c r="G66"/>
  <c r="M66"/>
  <c r="I66"/>
  <c r="C15"/>
  <c r="C66"/>
  <c r="Q15"/>
  <c r="E37"/>
  <c r="K37"/>
  <c r="O17"/>
  <c r="O21"/>
  <c r="O23"/>
  <c r="O29"/>
  <c r="O18"/>
  <c r="O24"/>
  <c r="O32"/>
  <c r="M15"/>
  <c r="S15"/>
  <c r="K15"/>
  <c r="K66"/>
  <c r="Q37"/>
  <c r="S37"/>
  <c r="E15"/>
  <c r="O26"/>
  <c r="O33"/>
  <c r="O19"/>
  <c r="O31"/>
  <c r="O30"/>
  <c r="O34"/>
  <c r="F20" i="3"/>
  <c r="D21"/>
  <c r="O66" i="2"/>
  <c r="Q41"/>
  <c r="Q66" s="1"/>
  <c r="B22" i="3"/>
  <c r="O37" i="2" l="1"/>
  <c r="U5" s="1"/>
  <c r="B15" i="3" s="1"/>
  <c r="B30" s="1"/>
  <c r="D22"/>
  <c r="F21"/>
  <c r="B29" l="1"/>
  <c r="F22"/>
  <c r="D23"/>
  <c r="D24" l="1"/>
  <c r="F23"/>
  <c r="D25" l="1"/>
  <c r="F24"/>
  <c r="F25" l="1"/>
  <c r="D26"/>
  <c r="D27" l="1"/>
  <c r="F26"/>
  <c r="D28" l="1"/>
  <c r="F27"/>
  <c r="F28" l="1"/>
  <c r="D29"/>
  <c r="D30" l="1"/>
  <c r="F29"/>
  <c r="D31" l="1"/>
  <c r="F30"/>
  <c r="D32" l="1"/>
  <c r="F31"/>
  <c r="D33" l="1"/>
  <c r="F32"/>
  <c r="F33" l="1"/>
  <c r="D34"/>
  <c r="F34" l="1"/>
  <c r="D35"/>
  <c r="D36" l="1"/>
  <c r="F35"/>
  <c r="D37" l="1"/>
  <c r="F37" s="1"/>
  <c r="F36"/>
  <c r="B23" l="1"/>
  <c r="B31"/>
</calcChain>
</file>

<file path=xl/sharedStrings.xml><?xml version="1.0" encoding="utf-8"?>
<sst xmlns="http://schemas.openxmlformats.org/spreadsheetml/2006/main" count="113" uniqueCount="110">
  <si>
    <t>Term</t>
  </si>
  <si>
    <t xml:space="preserve">years </t>
  </si>
  <si>
    <t>premium</t>
  </si>
  <si>
    <t>paid</t>
  </si>
  <si>
    <t>pollicy term</t>
  </si>
  <si>
    <t>years premium paid</t>
  </si>
  <si>
    <t>surrender value</t>
  </si>
  <si>
    <t>Total number of premiums payable</t>
  </si>
  <si>
    <t>Sum Assured (SA)</t>
  </si>
  <si>
    <t>Policy Term</t>
  </si>
  <si>
    <t>Special surrender value =</t>
  </si>
  <si>
    <t xml:space="preserve">{Basic Sum Assured X (Number of Premiums Paid/Total Number of Premiums Payable) plus total bonus received}X Surrender Value Factor. </t>
  </si>
  <si>
    <t>http://basunivesh.com/2012/09/05/lics-bonus-rates-for-2012-13-and-comparision/</t>
  </si>
  <si>
    <t>For a 20 year whole life plan I would not expect more than Rs. 70 per Rs. 1000 SA each year</t>
  </si>
  <si>
    <t>For a 20 year endowment  plan I would not expect more than Rs. 40-45 per Rs. 1000 SA each year</t>
  </si>
  <si>
    <t>For a 20 year money-back plan I would use about Rs. 30-40 per Rs. 1000 SA each year</t>
  </si>
  <si>
    <t>quarterly</t>
  </si>
  <si>
    <t>half-yearly</t>
  </si>
  <si>
    <t>yearly</t>
  </si>
  <si>
    <t>The bonuses given each year are simply added up. Longer the policy duration more the bonus.</t>
  </si>
  <si>
    <t>Years after which surrender value becomes applicable (usually 3 years)</t>
  </si>
  <si>
    <t>Surrender value factor (years premium paid is rounded off. For ex. 22 Qtly premiums is taken as 5 years)</t>
  </si>
  <si>
    <t>Bonus Rate</t>
  </si>
  <si>
    <t>Year</t>
  </si>
  <si>
    <t>If you don’t know the Bonus rate received enter an approx. average bonus rate for all policy years</t>
  </si>
  <si>
    <t>Have a look at this for a comparison and bonus rates for last few years</t>
  </si>
  <si>
    <r>
      <rPr>
        <b/>
        <sz val="10"/>
        <rFont val="Arial"/>
        <family val="2"/>
      </rPr>
      <t>Bonus received so far:</t>
    </r>
    <r>
      <rPr>
        <sz val="10"/>
        <rFont val="Arial"/>
        <family val="2"/>
      </rPr>
      <t xml:space="preserve"> Bonus is declared as a bonus rate. That is amount per Rs. 1000 of sum assured.</t>
    </r>
  </si>
  <si>
    <t>This is declared each year. you could enter this in the adjoining columns (D and E)</t>
  </si>
  <si>
    <t>The (LIC) bonus rate is usually been well below Rs. 100. Bonuses constitute simple interest</t>
  </si>
  <si>
    <t>Bonuses for whole-life plans are more than endowment plans which in turn is more than money-back plans</t>
  </si>
  <si>
    <t>If entries in column E</t>
  </si>
  <si>
    <t>are more than the number</t>
  </si>
  <si>
    <t>of years premium paid</t>
  </si>
  <si>
    <t>they will be ignored</t>
  </si>
  <si>
    <t xml:space="preserve">in the same format as the bonus rate every 5 years or so.  This is not included in the surrender value calculation  </t>
  </si>
  <si>
    <t>Premium amount excluding riders (needed only for guaranteed surrender value!)</t>
  </si>
  <si>
    <t>Guaranteed Surrender value percentage (at present 30% soon to be enhanced to 50% or so)</t>
  </si>
  <si>
    <t>If SSV is greater than GSV (usually the case) you will paid be SSV and vice-versa</t>
  </si>
  <si>
    <t>Total premium amount including riders). Re-enter even if same as above.</t>
  </si>
  <si>
    <t xml:space="preserve">are less than the number </t>
  </si>
  <si>
    <t>bonus rate of remaining</t>
  </si>
  <si>
    <t>years of premum paid</t>
  </si>
  <si>
    <t>will be taken as zero</t>
  </si>
  <si>
    <t xml:space="preserve">Is the surrender value taxable? </t>
  </si>
  <si>
    <t>Taxable if annual premium greater than 20% of sum assured if policy is issued on or after 1-4-2003 (I have used this)</t>
  </si>
  <si>
    <t>Taxable if annual premium greater than 10% of sum assured if policy is issued on or after 1-4-2012</t>
  </si>
  <si>
    <t>Taxable if annual premium greater than 5% of sum assured if policy is issued after DTC kicks in</t>
  </si>
  <si>
    <t>Premium payment mode (choose from drop-down list)</t>
  </si>
  <si>
    <t>Special Surrender Value (SSV) if applicable with no bonus</t>
  </si>
  <si>
    <t>Special Surrender Value (SSV) if applicable for average bonus rate as entered above</t>
  </si>
  <si>
    <t>Special Surrender Value (SSV) if applicable with annual bonus info as entered in columns D and E</t>
  </si>
  <si>
    <t>Insurance Policy Surrender value Calculator (fill only cells in green)</t>
  </si>
  <si>
    <t>http://taxworry.com/what-you-must-know-about-tax-impact-on-surrender-of-insurance-policy/</t>
  </si>
  <si>
    <t>http://capitalmind.in/2012/03/insurance-full-tax-on-surrender-if-premium10-of-sum-assured/</t>
  </si>
  <si>
    <t>Paid-up Value if applicable with no bonus</t>
  </si>
  <si>
    <t>Paid-up Value if applicable for average bonus rate as entered above</t>
  </si>
  <si>
    <t>Paid-up Value if applicable with annual bonus info as entered in columns D and E</t>
  </si>
  <si>
    <t xml:space="preserve"> and is merely indicative of  the expected surrender or paid-up value</t>
  </si>
  <si>
    <t>This calculator is based on LIC surrender value factors, is not suitable for ULIPS and single-premium plans</t>
  </si>
  <si>
    <t>(this site will force you to share the article on FB, Twitter etc. but it is worth it!)</t>
  </si>
  <si>
    <t>If you surrender before 5 years then such deductions become invalid and will be treated as income!</t>
  </si>
  <si>
    <t>You will need to pay tax for this amount in the year of surrender.</t>
  </si>
  <si>
    <t>What about 80 C deductions made based on this policy in previous years?</t>
  </si>
  <si>
    <t xml:space="preserve">Guaranteed Surrender value (GSV) </t>
  </si>
  <si>
    <t>Number of premiums paid (ex. Enter 22 if you have paid quarterly premiums for last 5.5 years)</t>
  </si>
  <si>
    <t>You also need to ensure number of premiums paid correlates with years premium paid</t>
  </si>
  <si>
    <t>Years premium paid (enter whole number only. If paid of 5.5 years enter only 5)</t>
  </si>
  <si>
    <t>Paid-up Value (you stop paying premiums and this is the amount you get when the policy matures)</t>
  </si>
  <si>
    <t>You need to ensure number of premiums paid is less than total no of premiums payable</t>
  </si>
  <si>
    <t>Paid-Up Vs Surrender</t>
  </si>
  <si>
    <t>enter the paid-up from above with which you would like to make the comparison</t>
  </si>
  <si>
    <t>enter the SSV (or GSV if that is greater) from above with which you would like to make the comparison</t>
  </si>
  <si>
    <t>at present as my understanding is that loyalty addition do not apply to surrender/paid-up options.</t>
  </si>
  <si>
    <t>Loyalty additions are paid if applicable only after certain number of years dependent on the policy and are usually declared</t>
  </si>
  <si>
    <t>Another type of bonus called final additional bonus if applicable is usually paid after 15 years. This also is not included in</t>
  </si>
  <si>
    <t>the calculation</t>
  </si>
  <si>
    <t>Partial bonus will be added to the GSV. Amt of partial bonus is usually not made public. Not incl. in calculation</t>
  </si>
  <si>
    <t>Net SSV available for investement if policy is surrendered</t>
  </si>
  <si>
    <t>You will get the paid-up value after (years)</t>
  </si>
  <si>
    <t>Instead of making the policy paid-up if you surrender and invest the post-tax SSV for the same duration as above</t>
  </si>
  <si>
    <r>
      <t xml:space="preserve">then for the investment to generate a sum equal to the paid-up value the </t>
    </r>
    <r>
      <rPr>
        <b/>
        <sz val="10"/>
        <rFont val="Arial"/>
        <family val="2"/>
      </rPr>
      <t>post-tax</t>
    </r>
    <r>
      <rPr>
        <sz val="10"/>
        <rFont val="Arial"/>
        <family val="2"/>
      </rPr>
      <t xml:space="preserve"> rate of return required is</t>
    </r>
  </si>
  <si>
    <t>So what should you do?</t>
  </si>
  <si>
    <t xml:space="preserve">or a balanced mutual fund and expect about 10% return which is tax-free (as of now) </t>
  </si>
  <si>
    <t>If your policy has more than 5 years left then you could invest a good portion of the SSV in equity instruments</t>
  </si>
  <si>
    <t>if your policy has less than 5 years left then best would be pay premiums for the full terms</t>
  </si>
  <si>
    <t>So the question of paid-up or surrender arises only for policies which are many years away from completion.</t>
  </si>
  <si>
    <t>For such polices if the above post-tax return is in single digits and the policy term has about 10 years left</t>
  </si>
  <si>
    <t xml:space="preserve">then surrendering makes sense. If the above post-tax return is above or close to 10% then you could </t>
  </si>
  <si>
    <t>just make the policy paid-up. If the post-tax return required is a low single digit number then if you surrender</t>
  </si>
  <si>
    <t>and invest intellgently you could earn more than the paid-up value.</t>
  </si>
  <si>
    <t>tax-slab (choose from drop down list 10% or 20 % or 30%) (includes education cess)</t>
  </si>
  <si>
    <t>Finally when should consider either paid-up or surrender options in the first place?</t>
  </si>
  <si>
    <t>Say you need to save Rs. 10,000 each month for a goal and you have an insurance product with an (effective)</t>
  </si>
  <si>
    <t>Case a</t>
  </si>
  <si>
    <t>Case b</t>
  </si>
  <si>
    <t>assumes you have enough money to meet all your financial goals, contingencies, expenses, loans and that</t>
  </si>
  <si>
    <t>you have adequate life and health insurance! (unfortunately this is pretty rare if not impossible!)</t>
  </si>
  <si>
    <r>
      <t xml:space="preserve">you could continue. </t>
    </r>
    <r>
      <rPr>
        <b/>
        <sz val="10"/>
        <rFont val="Arial"/>
        <family val="2"/>
      </rPr>
      <t>If not</t>
    </r>
    <r>
      <rPr>
        <sz val="10"/>
        <rFont val="Arial"/>
        <family val="2"/>
      </rPr>
      <t xml:space="preserve"> then consider paid-up or surrender options as above and invest wisely</t>
    </r>
  </si>
  <si>
    <t>monthly premium of only Rs. 2,000 then you could continue the policy. Of course you need to invest the rest of the money</t>
  </si>
  <si>
    <t>in appropriate instruments. The policy can serve as a debt instrument offering you limited but guaranteed tax-free</t>
  </si>
  <si>
    <r>
      <t xml:space="preserve">returns. If your effective monthly premium is close to or more than Rs. 10,000 and if </t>
    </r>
    <r>
      <rPr>
        <b/>
        <sz val="10"/>
        <rFont val="Arial"/>
        <family val="2"/>
      </rPr>
      <t>case a</t>
    </r>
    <r>
      <rPr>
        <sz val="10"/>
        <rFont val="Arial"/>
        <family val="2"/>
      </rPr>
      <t xml:space="preserve"> is satisfied then</t>
    </r>
  </si>
  <si>
    <t>If you have paid premium for only one or two years. Get out of it and minimize your loss</t>
  </si>
  <si>
    <t>if you have paid for three years then make it paid-up if you have claimed 80C deductions with the policy</t>
  </si>
  <si>
    <t xml:space="preserve">If you have planned your goal properly taking inflation into account and calculate the amount need to be saved each year </t>
  </si>
  <si>
    <t>or each month and then buy a life insurance product with an approximate idea of how you will get upon maturity and</t>
  </si>
  <si>
    <t>whether that would be enough for your goals, then and only then you should continue your policies. This scenario also</t>
  </si>
  <si>
    <t xml:space="preserve">and surrender options. If the policy is close to completion then leave it be. Calculate how much you need for the </t>
  </si>
  <si>
    <t>goal, estimate the short-fall and prepare accordingly.</t>
  </si>
  <si>
    <t>After realising that the insurance product is unsuitable for your goal don’t rush to get it paid-up or surrender</t>
  </si>
  <si>
    <t>If you have paid for five years or more then decide using the above calculator to choose between paid-up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</si>
</sst>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name val="Arial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1" fillId="0" borderId="0" applyFont="0" applyFill="0" applyBorder="0" applyAlignment="0" applyProtection="0"/>
  </cellStyleXfs>
  <cellXfs count="11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4" fillId="0" borderId="0" xfId="0" applyFont="1"/>
    <xf numFmtId="0" fontId="5" fillId="0" borderId="0" xfId="0" applyFont="1"/>
    <xf numFmtId="0" fontId="6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2" xfId="0" applyBorder="1"/>
    <xf numFmtId="0" fontId="9" fillId="0" borderId="2" xfId="0" applyFont="1" applyBorder="1"/>
    <xf numFmtId="0" fontId="9" fillId="0" borderId="4" xfId="0" applyFont="1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7" xfId="0" applyFont="1" applyFill="1" applyBorder="1"/>
    <xf numFmtId="0" fontId="7" fillId="0" borderId="2" xfId="0" applyFont="1" applyBorder="1"/>
    <xf numFmtId="0" fontId="7" fillId="0" borderId="4" xfId="0" applyFont="1" applyBorder="1"/>
    <xf numFmtId="0" fontId="0" fillId="0" borderId="3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1" fontId="0" fillId="3" borderId="0" xfId="0" applyNumberFormat="1" applyFill="1" applyBorder="1" applyAlignment="1">
      <alignment horizontal="center"/>
    </xf>
    <xf numFmtId="0" fontId="7" fillId="0" borderId="8" xfId="0" applyFont="1" applyBorder="1"/>
    <xf numFmtId="0" fontId="1" fillId="4" borderId="0" xfId="0" applyFont="1" applyFill="1"/>
    <xf numFmtId="0" fontId="7" fillId="4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7" borderId="2" xfId="0" applyFill="1" applyBorder="1"/>
    <xf numFmtId="0" fontId="7" fillId="7" borderId="2" xfId="0" applyFont="1" applyFill="1" applyBorder="1"/>
    <xf numFmtId="0" fontId="1" fillId="8" borderId="9" xfId="0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1" fillId="11" borderId="4" xfId="0" applyFont="1" applyFill="1" applyBorder="1"/>
    <xf numFmtId="0" fontId="0" fillId="12" borderId="0" xfId="0" applyFill="1" applyAlignment="1">
      <alignment horizontal="center"/>
    </xf>
    <xf numFmtId="0" fontId="9" fillId="9" borderId="11" xfId="0" applyFont="1" applyFill="1" applyBorder="1"/>
    <xf numFmtId="0" fontId="0" fillId="9" borderId="12" xfId="0" applyFill="1" applyBorder="1" applyAlignment="1">
      <alignment horizontal="center"/>
    </xf>
    <xf numFmtId="0" fontId="9" fillId="9" borderId="13" xfId="0" applyFont="1" applyFill="1" applyBorder="1"/>
    <xf numFmtId="0" fontId="0" fillId="9" borderId="14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9" fillId="13" borderId="11" xfId="0" applyFont="1" applyFill="1" applyBorder="1"/>
    <xf numFmtId="0" fontId="0" fillId="13" borderId="12" xfId="0" applyFill="1" applyBorder="1" applyAlignment="1">
      <alignment horizontal="center"/>
    </xf>
    <xf numFmtId="0" fontId="9" fillId="13" borderId="16" xfId="0" applyFont="1" applyFill="1" applyBorder="1"/>
    <xf numFmtId="0" fontId="0" fillId="13" borderId="17" xfId="0" applyFill="1" applyBorder="1" applyAlignment="1">
      <alignment horizontal="center"/>
    </xf>
    <xf numFmtId="0" fontId="8" fillId="13" borderId="16" xfId="1" applyFont="1" applyFill="1" applyBorder="1" applyAlignment="1" applyProtection="1"/>
    <xf numFmtId="0" fontId="0" fillId="13" borderId="16" xfId="0" applyFill="1" applyBorder="1"/>
    <xf numFmtId="0" fontId="7" fillId="14" borderId="16" xfId="0" applyFont="1" applyFill="1" applyBorder="1"/>
    <xf numFmtId="0" fontId="0" fillId="14" borderId="17" xfId="0" applyFill="1" applyBorder="1" applyAlignment="1">
      <alignment horizontal="center"/>
    </xf>
    <xf numFmtId="0" fontId="7" fillId="14" borderId="13" xfId="0" applyFont="1" applyFill="1" applyBorder="1"/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13" borderId="18" xfId="0" applyFill="1" applyBorder="1"/>
    <xf numFmtId="0" fontId="0" fillId="13" borderId="12" xfId="0" applyFill="1" applyBorder="1"/>
    <xf numFmtId="0" fontId="0" fillId="13" borderId="0" xfId="0" applyFill="1" applyBorder="1"/>
    <xf numFmtId="0" fontId="0" fillId="13" borderId="17" xfId="0" applyFill="1" applyBorder="1"/>
    <xf numFmtId="0" fontId="0" fillId="14" borderId="0" xfId="0" applyFill="1" applyBorder="1"/>
    <xf numFmtId="0" fontId="0" fillId="14" borderId="17" xfId="0" applyFill="1" applyBorder="1"/>
    <xf numFmtId="0" fontId="0" fillId="14" borderId="19" xfId="0" applyFill="1" applyBorder="1"/>
    <xf numFmtId="0" fontId="0" fillId="14" borderId="14" xfId="0" applyFill="1" applyBorder="1"/>
    <xf numFmtId="0" fontId="0" fillId="13" borderId="13" xfId="0" applyFill="1" applyBorder="1"/>
    <xf numFmtId="0" fontId="0" fillId="13" borderId="14" xfId="0" applyFill="1" applyBorder="1" applyAlignment="1">
      <alignment horizontal="center"/>
    </xf>
    <xf numFmtId="0" fontId="0" fillId="13" borderId="19" xfId="0" applyFill="1" applyBorder="1"/>
    <xf numFmtId="0" fontId="0" fillId="13" borderId="14" xfId="0" applyFill="1" applyBorder="1"/>
    <xf numFmtId="0" fontId="9" fillId="6" borderId="20" xfId="0" applyFont="1" applyFill="1" applyBorder="1"/>
    <xf numFmtId="0" fontId="9" fillId="6" borderId="21" xfId="0" applyFont="1" applyFill="1" applyBorder="1"/>
    <xf numFmtId="0" fontId="7" fillId="5" borderId="21" xfId="0" applyFont="1" applyFill="1" applyBorder="1"/>
    <xf numFmtId="0" fontId="7" fillId="5" borderId="22" xfId="0" applyFont="1" applyFill="1" applyBorder="1"/>
    <xf numFmtId="0" fontId="9" fillId="6" borderId="22" xfId="0" applyFont="1" applyFill="1" applyBorder="1"/>
    <xf numFmtId="0" fontId="0" fillId="0" borderId="17" xfId="0" applyBorder="1" applyAlignment="1">
      <alignment horizontal="center"/>
    </xf>
    <xf numFmtId="1" fontId="0" fillId="10" borderId="3" xfId="0" applyNumberFormat="1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0" borderId="16" xfId="0" applyBorder="1"/>
    <xf numFmtId="0" fontId="7" fillId="11" borderId="2" xfId="0" applyFont="1" applyFill="1" applyBorder="1"/>
    <xf numFmtId="0" fontId="0" fillId="11" borderId="3" xfId="0" applyFill="1" applyBorder="1" applyAlignment="1">
      <alignment horizontal="center"/>
    </xf>
    <xf numFmtId="0" fontId="7" fillId="9" borderId="2" xfId="0" applyFont="1" applyFill="1" applyBorder="1"/>
    <xf numFmtId="0" fontId="0" fillId="9" borderId="2" xfId="0" applyFill="1" applyBorder="1"/>
    <xf numFmtId="0" fontId="3" fillId="9" borderId="2" xfId="1" applyFill="1" applyBorder="1" applyAlignment="1" applyProtection="1"/>
    <xf numFmtId="0" fontId="0" fillId="9" borderId="5" xfId="0" applyFill="1" applyBorder="1"/>
    <xf numFmtId="0" fontId="0" fillId="9" borderId="6" xfId="0" applyFill="1" applyBorder="1" applyAlignment="1">
      <alignment horizontal="center"/>
    </xf>
    <xf numFmtId="0" fontId="7" fillId="11" borderId="4" xfId="0" applyFont="1" applyFill="1" applyBorder="1"/>
    <xf numFmtId="0" fontId="9" fillId="0" borderId="23" xfId="0" applyFont="1" applyFill="1" applyBorder="1"/>
    <xf numFmtId="0" fontId="0" fillId="0" borderId="24" xfId="0" applyFill="1" applyBorder="1" applyAlignment="1">
      <alignment horizontal="center"/>
    </xf>
    <xf numFmtId="0" fontId="7" fillId="7" borderId="8" xfId="0" applyFont="1" applyFill="1" applyBorder="1"/>
    <xf numFmtId="0" fontId="0" fillId="0" borderId="9" xfId="0" applyFill="1" applyBorder="1" applyAlignment="1">
      <alignment horizontal="center"/>
    </xf>
    <xf numFmtId="0" fontId="7" fillId="7" borderId="5" xfId="0" applyFont="1" applyFill="1" applyBorder="1"/>
    <xf numFmtId="0" fontId="0" fillId="10" borderId="14" xfId="0" applyFill="1" applyBorder="1" applyAlignment="1">
      <alignment horizontal="center"/>
    </xf>
    <xf numFmtId="9" fontId="0" fillId="8" borderId="9" xfId="0" applyNumberFormat="1" applyFill="1" applyBorder="1" applyAlignment="1">
      <alignment horizontal="center"/>
    </xf>
    <xf numFmtId="0" fontId="7" fillId="7" borderId="25" xfId="0" applyFont="1" applyFill="1" applyBorder="1"/>
    <xf numFmtId="0" fontId="0" fillId="0" borderId="6" xfId="0" applyFill="1" applyBorder="1" applyAlignment="1">
      <alignment horizontal="center"/>
    </xf>
    <xf numFmtId="0" fontId="1" fillId="0" borderId="23" xfId="0" applyFont="1" applyFill="1" applyBorder="1"/>
    <xf numFmtId="0" fontId="1" fillId="9" borderId="7" xfId="0" applyFont="1" applyFill="1" applyBorder="1"/>
    <xf numFmtId="0" fontId="0" fillId="9" borderId="15" xfId="0" applyFill="1" applyBorder="1" applyAlignment="1">
      <alignment horizontal="center"/>
    </xf>
    <xf numFmtId="0" fontId="7" fillId="11" borderId="8" xfId="0" applyFont="1" applyFill="1" applyBorder="1"/>
    <xf numFmtId="1" fontId="0" fillId="10" borderId="9" xfId="0" applyNumberFormat="1" applyFill="1" applyBorder="1" applyAlignment="1">
      <alignment horizontal="center"/>
    </xf>
    <xf numFmtId="0" fontId="3" fillId="11" borderId="5" xfId="1" applyFill="1" applyBorder="1" applyAlignment="1" applyProtection="1"/>
    <xf numFmtId="0" fontId="0" fillId="11" borderId="6" xfId="0" applyFill="1" applyBorder="1" applyAlignment="1">
      <alignment horizontal="center"/>
    </xf>
    <xf numFmtId="0" fontId="10" fillId="15" borderId="2" xfId="0" applyFont="1" applyFill="1" applyBorder="1"/>
    <xf numFmtId="0" fontId="10" fillId="15" borderId="4" xfId="0" applyFont="1" applyFill="1" applyBorder="1"/>
    <xf numFmtId="0" fontId="1" fillId="0" borderId="0" xfId="0" applyFont="1" applyFill="1"/>
    <xf numFmtId="0" fontId="9" fillId="8" borderId="3" xfId="0" applyFont="1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7" fillId="14" borderId="11" xfId="0" applyFont="1" applyFill="1" applyBorder="1"/>
    <xf numFmtId="0" fontId="0" fillId="14" borderId="18" xfId="0" applyFill="1" applyBorder="1" applyAlignment="1">
      <alignment horizontal="center"/>
    </xf>
    <xf numFmtId="0" fontId="0" fillId="14" borderId="18" xfId="0" applyFill="1" applyBorder="1"/>
    <xf numFmtId="0" fontId="0" fillId="14" borderId="12" xfId="0" applyFill="1" applyBorder="1"/>
    <xf numFmtId="0" fontId="0" fillId="14" borderId="19" xfId="0" applyFill="1" applyBorder="1" applyAlignment="1">
      <alignment horizontal="center"/>
    </xf>
    <xf numFmtId="164" fontId="0" fillId="0" borderId="0" xfId="2" applyNumberFormat="1" applyFont="1"/>
    <xf numFmtId="0" fontId="0" fillId="0" borderId="1" xfId="0" applyFill="1" applyBorder="1"/>
    <xf numFmtId="0" fontId="0" fillId="8" borderId="1" xfId="0" applyFill="1" applyBorder="1" applyAlignment="1">
      <alignment horizontal="center"/>
    </xf>
    <xf numFmtId="0" fontId="7" fillId="0" borderId="1" xfId="0" applyFont="1" applyFill="1" applyBorder="1"/>
    <xf numFmtId="164" fontId="7" fillId="8" borderId="1" xfId="2" applyNumberFormat="1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10" borderId="1" xfId="2" applyNumberFormat="1" applyFont="1" applyFill="1" applyBorder="1" applyAlignment="1">
      <alignment horizontal="center"/>
    </xf>
    <xf numFmtId="0" fontId="1" fillId="9" borderId="0" xfId="0" applyFont="1" applyFill="1" applyBorder="1"/>
    <xf numFmtId="0" fontId="7" fillId="9" borderId="0" xfId="0" applyFont="1" applyFill="1"/>
    <xf numFmtId="0" fontId="1" fillId="0" borderId="0" xfId="0" applyFont="1"/>
    <xf numFmtId="0" fontId="1" fillId="9" borderId="0" xfId="0" applyFont="1" applyFill="1"/>
    <xf numFmtId="0" fontId="0" fillId="9" borderId="0" xfId="0" applyFill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pitalmind.in/2012/03/insurance-full-tax-on-surrender-if-premium10-of-sum-assured/" TargetMode="External"/><Relationship Id="rId2" Type="http://schemas.openxmlformats.org/officeDocument/2006/relationships/hyperlink" Target="http://taxworry.com/what-you-must-know-about-tax-impact-on-surrender-of-insurance-policy/" TargetMode="External"/><Relationship Id="rId1" Type="http://schemas.openxmlformats.org/officeDocument/2006/relationships/hyperlink" Target="http://basunivesh.com/2012/09/05/lics-bonus-rates-for-2012-13-and-comparision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workbookViewId="0">
      <selection activeCell="B48" sqref="B48"/>
    </sheetView>
  </sheetViews>
  <sheetFormatPr defaultRowHeight="13.2"/>
  <cols>
    <col min="1" max="1" width="91.109375" customWidth="1"/>
    <col min="2" max="2" width="9" style="6" bestFit="1" customWidth="1"/>
    <col min="3" max="3" width="1.44140625" style="6" customWidth="1"/>
    <col min="4" max="4" width="4.88671875" style="6" bestFit="1" customWidth="1"/>
    <col min="5" max="5" width="11.33203125" style="6" bestFit="1" customWidth="1"/>
    <col min="6" max="6" width="11.6640625" hidden="1" customWidth="1"/>
    <col min="7" max="7" width="9.109375" hidden="1" customWidth="1"/>
    <col min="8" max="8" width="21.44140625" customWidth="1"/>
    <col min="15" max="15" width="11.109375" customWidth="1"/>
    <col min="17" max="17" width="8.88671875" hidden="1" customWidth="1"/>
  </cols>
  <sheetData>
    <row r="1" spans="1:17">
      <c r="A1" s="20" t="s">
        <v>51</v>
      </c>
    </row>
    <row r="2" spans="1:17">
      <c r="A2" s="21" t="s">
        <v>58</v>
      </c>
    </row>
    <row r="3" spans="1:17" ht="13.8" thickBot="1">
      <c r="A3" s="21" t="s">
        <v>57</v>
      </c>
    </row>
    <row r="4" spans="1:17">
      <c r="A4" s="19" t="s">
        <v>47</v>
      </c>
      <c r="B4" s="26" t="s">
        <v>18</v>
      </c>
      <c r="C4" s="16"/>
      <c r="D4" s="40" t="s">
        <v>28</v>
      </c>
      <c r="E4" s="41"/>
      <c r="F4" s="51"/>
      <c r="G4" s="51"/>
      <c r="H4" s="51"/>
      <c r="I4" s="51"/>
      <c r="J4" s="51"/>
      <c r="K4" s="51"/>
      <c r="L4" s="51"/>
      <c r="M4" s="51"/>
      <c r="N4" s="51"/>
      <c r="O4" s="52"/>
      <c r="Q4" s="106">
        <v>0.10299999999999999</v>
      </c>
    </row>
    <row r="5" spans="1:17">
      <c r="A5" s="7" t="s">
        <v>9</v>
      </c>
      <c r="B5" s="27">
        <v>20</v>
      </c>
      <c r="C5" s="16"/>
      <c r="D5" s="42" t="s">
        <v>19</v>
      </c>
      <c r="E5" s="43"/>
      <c r="F5" s="53"/>
      <c r="G5" s="53"/>
      <c r="H5" s="53"/>
      <c r="I5" s="53"/>
      <c r="J5" s="53"/>
      <c r="K5" s="53"/>
      <c r="L5" s="53"/>
      <c r="M5" s="53"/>
      <c r="N5" s="53"/>
      <c r="O5" s="54"/>
      <c r="Q5" s="106">
        <v>0.20599999999999999</v>
      </c>
    </row>
    <row r="6" spans="1:17">
      <c r="A6" s="7" t="s">
        <v>7</v>
      </c>
      <c r="B6" s="29">
        <f>IF(B4="quarterly",4,IF(B4="half-yearly",2,IF(B4="yearly",1,0)))*B5</f>
        <v>20</v>
      </c>
      <c r="C6" s="16"/>
      <c r="D6" s="42" t="s">
        <v>29</v>
      </c>
      <c r="E6" s="43"/>
      <c r="F6" s="53"/>
      <c r="G6" s="53"/>
      <c r="H6" s="53"/>
      <c r="I6" s="53"/>
      <c r="J6" s="53"/>
      <c r="K6" s="53"/>
      <c r="L6" s="53"/>
      <c r="M6" s="53"/>
      <c r="N6" s="53"/>
      <c r="O6" s="54"/>
      <c r="Q6" s="106">
        <v>0.309</v>
      </c>
    </row>
    <row r="7" spans="1:17">
      <c r="A7" s="8" t="s">
        <v>20</v>
      </c>
      <c r="B7" s="27">
        <v>3</v>
      </c>
      <c r="C7" s="16"/>
      <c r="D7" s="42" t="s">
        <v>25</v>
      </c>
      <c r="E7" s="43"/>
      <c r="F7" s="53"/>
      <c r="G7" s="53"/>
      <c r="H7" s="53"/>
      <c r="I7" s="53"/>
      <c r="J7" s="53"/>
      <c r="K7" s="53"/>
      <c r="L7" s="53"/>
      <c r="M7" s="53"/>
      <c r="N7" s="53"/>
      <c r="O7" s="54"/>
    </row>
    <row r="8" spans="1:17">
      <c r="A8" s="7" t="s">
        <v>66</v>
      </c>
      <c r="B8" s="27">
        <v>4</v>
      </c>
      <c r="C8" s="16"/>
      <c r="D8" s="44" t="s">
        <v>12</v>
      </c>
      <c r="E8" s="43"/>
      <c r="F8" s="53"/>
      <c r="G8" s="53"/>
      <c r="H8" s="53"/>
      <c r="I8" s="53"/>
      <c r="J8" s="53"/>
      <c r="K8" s="53"/>
      <c r="L8" s="53"/>
      <c r="M8" s="53"/>
      <c r="N8" s="53"/>
      <c r="O8" s="54"/>
    </row>
    <row r="9" spans="1:17">
      <c r="A9" s="7" t="s">
        <v>8</v>
      </c>
      <c r="B9" s="27">
        <v>1000000</v>
      </c>
      <c r="C9" s="16"/>
      <c r="D9" s="45" t="s">
        <v>13</v>
      </c>
      <c r="E9" s="4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7">
      <c r="A10" s="24" t="s">
        <v>64</v>
      </c>
      <c r="B10" s="27">
        <v>4</v>
      </c>
      <c r="C10" s="16"/>
      <c r="D10" s="45" t="s">
        <v>14</v>
      </c>
      <c r="E10" s="43"/>
      <c r="F10" s="53"/>
      <c r="G10" s="53"/>
      <c r="H10" s="53"/>
      <c r="I10" s="53"/>
      <c r="J10" s="53"/>
      <c r="K10" s="53"/>
      <c r="L10" s="53"/>
      <c r="M10" s="53"/>
      <c r="N10" s="53"/>
      <c r="O10" s="54"/>
    </row>
    <row r="11" spans="1:17" ht="13.8" thickBot="1">
      <c r="A11" s="96" t="s">
        <v>68</v>
      </c>
      <c r="C11" s="16"/>
      <c r="D11" s="59" t="s">
        <v>15</v>
      </c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2"/>
    </row>
    <row r="12" spans="1:17">
      <c r="A12" s="97" t="s">
        <v>65</v>
      </c>
      <c r="B12" s="68"/>
      <c r="C12" s="16"/>
      <c r="D12" s="46" t="s">
        <v>73</v>
      </c>
      <c r="E12" s="47"/>
      <c r="F12" s="55"/>
      <c r="G12" s="55"/>
      <c r="H12" s="55"/>
      <c r="I12" s="55"/>
      <c r="J12" s="55"/>
      <c r="K12" s="55"/>
      <c r="L12" s="55"/>
      <c r="M12" s="55"/>
      <c r="N12" s="55"/>
      <c r="O12" s="56"/>
    </row>
    <row r="13" spans="1:17">
      <c r="A13" s="13" t="s">
        <v>35</v>
      </c>
      <c r="B13" s="27">
        <v>15000</v>
      </c>
      <c r="C13" s="16"/>
      <c r="D13" s="46" t="s">
        <v>34</v>
      </c>
      <c r="E13" s="47"/>
      <c r="F13" s="55"/>
      <c r="G13" s="55"/>
      <c r="H13" s="55"/>
      <c r="I13" s="55"/>
      <c r="J13" s="55"/>
      <c r="K13" s="55"/>
      <c r="L13" s="55"/>
      <c r="M13" s="55"/>
      <c r="N13" s="55"/>
      <c r="O13" s="56"/>
    </row>
    <row r="14" spans="1:17" ht="13.8" thickBot="1">
      <c r="A14" s="14" t="s">
        <v>38</v>
      </c>
      <c r="B14" s="30">
        <v>15000</v>
      </c>
      <c r="C14" s="16"/>
      <c r="D14" s="46" t="s">
        <v>72</v>
      </c>
      <c r="E14" s="47"/>
      <c r="F14" s="55"/>
      <c r="G14" s="55"/>
      <c r="H14" s="55"/>
      <c r="I14" s="55"/>
      <c r="J14" s="55"/>
      <c r="K14" s="55"/>
      <c r="L14" s="55"/>
      <c r="M14" s="55"/>
      <c r="N14" s="55"/>
      <c r="O14" s="56"/>
    </row>
    <row r="15" spans="1:17" ht="13.8" thickBot="1">
      <c r="A15" s="9" t="s">
        <v>21</v>
      </c>
      <c r="B15" s="31">
        <f>svf</f>
        <v>30.06</v>
      </c>
      <c r="C15" s="16"/>
      <c r="D15" s="101" t="s">
        <v>74</v>
      </c>
      <c r="E15" s="102"/>
      <c r="F15" s="103"/>
      <c r="G15" s="103"/>
      <c r="H15" s="103"/>
      <c r="I15" s="103"/>
      <c r="J15" s="103"/>
      <c r="K15" s="103"/>
      <c r="L15" s="103"/>
      <c r="M15" s="103"/>
      <c r="N15" s="103"/>
      <c r="O15" s="104"/>
    </row>
    <row r="16" spans="1:17" ht="13.8" thickBot="1">
      <c r="A16" s="34" t="s">
        <v>26</v>
      </c>
      <c r="B16" s="35"/>
      <c r="C16" s="16"/>
      <c r="D16" s="48" t="s">
        <v>75</v>
      </c>
      <c r="E16" s="105"/>
      <c r="F16" s="57"/>
      <c r="G16" s="57"/>
      <c r="H16" s="57"/>
      <c r="I16" s="57"/>
      <c r="J16" s="57"/>
      <c r="K16" s="57"/>
      <c r="L16" s="57"/>
      <c r="M16" s="57"/>
      <c r="N16" s="57"/>
      <c r="O16" s="58"/>
    </row>
    <row r="17" spans="1:8" ht="13.8" thickBot="1">
      <c r="A17" s="36" t="s">
        <v>27</v>
      </c>
      <c r="B17" s="37"/>
      <c r="C17" s="16"/>
      <c r="D17" s="49" t="s">
        <v>23</v>
      </c>
      <c r="E17" s="50" t="s">
        <v>22</v>
      </c>
      <c r="G17" t="s">
        <v>16</v>
      </c>
    </row>
    <row r="18" spans="1:8">
      <c r="A18" s="12" t="s">
        <v>24</v>
      </c>
      <c r="B18" s="38">
        <v>50</v>
      </c>
      <c r="C18" s="16"/>
      <c r="D18" s="10">
        <v>1</v>
      </c>
      <c r="E18" s="99">
        <v>50</v>
      </c>
      <c r="F18">
        <f t="shared" ref="F18:F36" si="0">IF(D18&lt;=ypaid,E18,0)*Suma/1000</f>
        <v>50000</v>
      </c>
      <c r="G18" t="s">
        <v>17</v>
      </c>
      <c r="H18" s="63" t="s">
        <v>30</v>
      </c>
    </row>
    <row r="19" spans="1:8" ht="13.8" thickBot="1">
      <c r="A19" s="80"/>
      <c r="B19" s="81"/>
      <c r="C19" s="16"/>
      <c r="D19" s="10">
        <f>D18+1</f>
        <v>2</v>
      </c>
      <c r="E19" s="99">
        <v>50</v>
      </c>
      <c r="F19">
        <f t="shared" si="0"/>
        <v>50000</v>
      </c>
      <c r="G19" t="s">
        <v>18</v>
      </c>
      <c r="H19" s="64" t="s">
        <v>31</v>
      </c>
    </row>
    <row r="20" spans="1:8">
      <c r="A20" s="82" t="s">
        <v>67</v>
      </c>
      <c r="B20" s="83"/>
      <c r="C20" s="16"/>
      <c r="D20" s="10">
        <f t="shared" ref="D20:D37" si="1">D19+1</f>
        <v>3</v>
      </c>
      <c r="E20" s="99">
        <v>50</v>
      </c>
      <c r="F20">
        <f t="shared" si="0"/>
        <v>50000</v>
      </c>
      <c r="H20" s="64" t="s">
        <v>32</v>
      </c>
    </row>
    <row r="21" spans="1:8" ht="13.8" thickBot="1">
      <c r="A21" s="25" t="s">
        <v>54</v>
      </c>
      <c r="B21" s="69">
        <f>IF(B8&lt;B7,0,((B9*B10/B6)))</f>
        <v>200000</v>
      </c>
      <c r="C21" s="16"/>
      <c r="D21" s="10">
        <f t="shared" si="1"/>
        <v>4</v>
      </c>
      <c r="E21" s="99">
        <v>50</v>
      </c>
      <c r="F21">
        <f t="shared" si="0"/>
        <v>50000</v>
      </c>
      <c r="H21" s="67" t="s">
        <v>33</v>
      </c>
    </row>
    <row r="22" spans="1:8">
      <c r="A22" s="25" t="s">
        <v>55</v>
      </c>
      <c r="B22" s="70">
        <f>IF(B8&lt;B7,0,((B9*B10/B6)+((ypaid*B18*Suma)/1000)))</f>
        <v>400000</v>
      </c>
      <c r="C22" s="16"/>
      <c r="D22" s="10">
        <f t="shared" si="1"/>
        <v>5</v>
      </c>
      <c r="E22" s="99"/>
      <c r="F22">
        <f t="shared" si="0"/>
        <v>0</v>
      </c>
      <c r="H22" s="65" t="s">
        <v>30</v>
      </c>
    </row>
    <row r="23" spans="1:8" ht="13.8" thickBot="1">
      <c r="A23" s="84" t="s">
        <v>56</v>
      </c>
      <c r="B23" s="85">
        <f>IF(B8&lt;B7,0,((B9*B10/B6)+SUM(F18:F37)))</f>
        <v>400000</v>
      </c>
      <c r="C23" s="17"/>
      <c r="D23" s="10">
        <f t="shared" si="1"/>
        <v>6</v>
      </c>
      <c r="E23" s="99"/>
      <c r="F23">
        <f t="shared" si="0"/>
        <v>0</v>
      </c>
      <c r="H23" s="65" t="s">
        <v>39</v>
      </c>
    </row>
    <row r="24" spans="1:8" ht="13.8" thickBot="1">
      <c r="A24" s="71"/>
      <c r="B24" s="68"/>
      <c r="C24" s="17"/>
      <c r="D24" s="10">
        <f t="shared" si="1"/>
        <v>7</v>
      </c>
      <c r="E24" s="27"/>
      <c r="F24">
        <f t="shared" si="0"/>
        <v>0</v>
      </c>
      <c r="H24" s="65" t="s">
        <v>32</v>
      </c>
    </row>
    <row r="25" spans="1:8">
      <c r="A25" s="82" t="s">
        <v>36</v>
      </c>
      <c r="B25" s="86">
        <v>0.3</v>
      </c>
      <c r="C25" s="16"/>
      <c r="D25" s="10">
        <f t="shared" si="1"/>
        <v>8</v>
      </c>
      <c r="E25" s="27"/>
      <c r="F25">
        <f t="shared" si="0"/>
        <v>0</v>
      </c>
      <c r="H25" s="65" t="s">
        <v>40</v>
      </c>
    </row>
    <row r="26" spans="1:8">
      <c r="A26" s="25" t="s">
        <v>63</v>
      </c>
      <c r="B26" s="29">
        <f>IF(B8&lt;B7,0,B25*(B13*(B10-IF(B4="quarterly",4,IF(B4="half-yearly",2,IF(B4="yearly",1,0))))))</f>
        <v>13500</v>
      </c>
      <c r="C26" s="16"/>
      <c r="D26" s="10">
        <f t="shared" si="1"/>
        <v>9</v>
      </c>
      <c r="E26" s="27"/>
      <c r="F26">
        <f t="shared" si="0"/>
        <v>0</v>
      </c>
      <c r="H26" s="65" t="s">
        <v>41</v>
      </c>
    </row>
    <row r="27" spans="1:8" ht="13.8" thickBot="1">
      <c r="A27" s="87" t="s">
        <v>76</v>
      </c>
      <c r="B27" s="88"/>
      <c r="C27" s="16"/>
      <c r="D27" s="10">
        <f t="shared" si="1"/>
        <v>10</v>
      </c>
      <c r="E27" s="27"/>
      <c r="F27">
        <f t="shared" si="0"/>
        <v>0</v>
      </c>
      <c r="H27" s="66" t="s">
        <v>42</v>
      </c>
    </row>
    <row r="28" spans="1:8" ht="13.8" thickBot="1">
      <c r="A28" s="89"/>
      <c r="B28" s="81"/>
      <c r="C28" s="16"/>
      <c r="D28" s="10">
        <f t="shared" si="1"/>
        <v>11</v>
      </c>
      <c r="E28" s="27"/>
      <c r="F28">
        <f t="shared" si="0"/>
        <v>0</v>
      </c>
    </row>
    <row r="29" spans="1:8">
      <c r="A29" s="92" t="s">
        <v>48</v>
      </c>
      <c r="B29" s="93">
        <f>IF(B8&lt;B7,0,((B9*B10/B6))*B15/100)</f>
        <v>60120</v>
      </c>
      <c r="C29" s="18"/>
      <c r="D29" s="10">
        <f t="shared" si="1"/>
        <v>12</v>
      </c>
      <c r="E29" s="27"/>
      <c r="F29">
        <f t="shared" si="0"/>
        <v>0</v>
      </c>
    </row>
    <row r="30" spans="1:8">
      <c r="A30" s="72" t="s">
        <v>49</v>
      </c>
      <c r="B30" s="69">
        <f>IF(B8&lt;B7,0,((B9*B10/B6)+B8*((B9/1000)*B18))*B15/100)</f>
        <v>120240</v>
      </c>
      <c r="C30" s="18"/>
      <c r="D30" s="10">
        <f t="shared" si="1"/>
        <v>13</v>
      </c>
      <c r="E30" s="27"/>
      <c r="F30">
        <f t="shared" si="0"/>
        <v>0</v>
      </c>
    </row>
    <row r="31" spans="1:8">
      <c r="A31" s="79" t="s">
        <v>50</v>
      </c>
      <c r="B31" s="29">
        <f>IF(B8&lt;B7,0,((B9*B10/B6)+SUM(F18:F37))*B15/100)</f>
        <v>120240</v>
      </c>
      <c r="C31" s="16"/>
      <c r="D31" s="10">
        <f t="shared" si="1"/>
        <v>14</v>
      </c>
      <c r="E31" s="27"/>
      <c r="F31">
        <f t="shared" si="0"/>
        <v>0</v>
      </c>
    </row>
    <row r="32" spans="1:8">
      <c r="A32" s="72" t="s">
        <v>37</v>
      </c>
      <c r="B32" s="15"/>
      <c r="C32" s="16"/>
      <c r="D32" s="10">
        <f t="shared" si="1"/>
        <v>15</v>
      </c>
      <c r="E32" s="27"/>
      <c r="F32">
        <f t="shared" si="0"/>
        <v>0</v>
      </c>
    </row>
    <row r="33" spans="1:8">
      <c r="A33" s="32" t="s">
        <v>43</v>
      </c>
      <c r="B33" s="39" t="str">
        <f>IF(IF(B4="quarterly",4,IF(B4="half-yearly",2,IF(B4="yearly",1,0)))*B14&gt;20%*Suma,"Yes","No")</f>
        <v>No</v>
      </c>
      <c r="C33" s="16"/>
      <c r="D33" s="10">
        <f t="shared" si="1"/>
        <v>16</v>
      </c>
      <c r="E33" s="27"/>
      <c r="F33">
        <f t="shared" si="0"/>
        <v>0</v>
      </c>
    </row>
    <row r="34" spans="1:8">
      <c r="A34" s="72" t="s">
        <v>44</v>
      </c>
      <c r="B34" s="73"/>
      <c r="C34" s="17"/>
      <c r="D34" s="10">
        <f t="shared" si="1"/>
        <v>17</v>
      </c>
      <c r="E34" s="27"/>
      <c r="F34">
        <f t="shared" si="0"/>
        <v>0</v>
      </c>
    </row>
    <row r="35" spans="1:8">
      <c r="A35" s="72" t="s">
        <v>45</v>
      </c>
      <c r="B35" s="73"/>
      <c r="C35" s="17"/>
      <c r="D35" s="10">
        <f t="shared" si="1"/>
        <v>18</v>
      </c>
      <c r="E35" s="27"/>
      <c r="F35">
        <f t="shared" si="0"/>
        <v>0</v>
      </c>
    </row>
    <row r="36" spans="1:8" ht="13.2" customHeight="1">
      <c r="A36" s="72" t="s">
        <v>46</v>
      </c>
      <c r="B36" s="73"/>
      <c r="C36" s="17"/>
      <c r="D36" s="10">
        <f t="shared" si="1"/>
        <v>19</v>
      </c>
      <c r="E36" s="27"/>
      <c r="F36">
        <f t="shared" si="0"/>
        <v>0</v>
      </c>
    </row>
    <row r="37" spans="1:8" ht="12" customHeight="1" thickBot="1">
      <c r="A37" s="94" t="s">
        <v>53</v>
      </c>
      <c r="B37" s="95"/>
      <c r="C37" s="17"/>
      <c r="D37" s="11">
        <f t="shared" si="1"/>
        <v>20</v>
      </c>
      <c r="E37" s="100"/>
      <c r="F37">
        <f>IF(D37&lt;=ypaid,#REF!,0)*Suma/1000</f>
        <v>0</v>
      </c>
    </row>
    <row r="38" spans="1:8" ht="14.4" customHeight="1">
      <c r="A38" s="90" t="s">
        <v>62</v>
      </c>
      <c r="B38" s="91"/>
      <c r="C38" s="17"/>
      <c r="F38" s="5" t="s">
        <v>10</v>
      </c>
    </row>
    <row r="39" spans="1:8" ht="12.6" customHeight="1">
      <c r="A39" s="74" t="s">
        <v>60</v>
      </c>
      <c r="B39" s="28"/>
      <c r="C39" s="17"/>
      <c r="F39" s="5" t="s">
        <v>11</v>
      </c>
    </row>
    <row r="40" spans="1:8">
      <c r="A40" s="75" t="s">
        <v>61</v>
      </c>
      <c r="B40" s="28"/>
      <c r="C40" s="17"/>
    </row>
    <row r="41" spans="1:8">
      <c r="A41" s="76" t="s">
        <v>52</v>
      </c>
      <c r="B41" s="28"/>
      <c r="C41" s="33"/>
    </row>
    <row r="42" spans="1:8" ht="13.8" thickBot="1">
      <c r="A42" s="77" t="s">
        <v>59</v>
      </c>
      <c r="B42" s="78"/>
      <c r="C42" s="33"/>
    </row>
    <row r="43" spans="1:8">
      <c r="A43" s="22"/>
      <c r="B43" s="23"/>
      <c r="C43" s="23"/>
      <c r="D43" s="23"/>
      <c r="E43" s="23"/>
      <c r="F43" s="22"/>
      <c r="G43" s="22"/>
      <c r="H43" s="22"/>
    </row>
    <row r="44" spans="1:8">
      <c r="A44" s="98" t="s">
        <v>69</v>
      </c>
      <c r="B44" s="23"/>
      <c r="C44" s="23"/>
      <c r="D44" s="23"/>
      <c r="E44" s="23"/>
      <c r="F44" s="22"/>
      <c r="G44" s="22"/>
      <c r="H44" s="22"/>
    </row>
    <row r="45" spans="1:8">
      <c r="A45" s="107" t="s">
        <v>70</v>
      </c>
      <c r="B45" s="108">
        <v>400000</v>
      </c>
      <c r="C45" s="23"/>
      <c r="D45" s="23"/>
      <c r="E45" s="23"/>
      <c r="F45" s="22"/>
      <c r="G45" s="22"/>
      <c r="H45" s="22"/>
    </row>
    <row r="46" spans="1:8">
      <c r="A46" s="107" t="s">
        <v>71</v>
      </c>
      <c r="B46" s="108">
        <v>120240</v>
      </c>
      <c r="C46" s="23"/>
      <c r="D46" s="23"/>
      <c r="E46" s="23"/>
      <c r="F46" s="22"/>
      <c r="G46" s="22"/>
      <c r="H46" s="22"/>
    </row>
    <row r="47" spans="1:8">
      <c r="A47" s="109" t="s">
        <v>90</v>
      </c>
      <c r="B47" s="110">
        <v>0.20599999999999999</v>
      </c>
      <c r="C47" s="23"/>
      <c r="D47" s="23"/>
      <c r="E47" s="23"/>
      <c r="F47" s="22"/>
      <c r="G47" s="22"/>
      <c r="H47" s="22"/>
    </row>
    <row r="48" spans="1:8">
      <c r="A48" s="109" t="s">
        <v>77</v>
      </c>
      <c r="B48" s="111">
        <f>IF(B33="Yes",B46*(1-B47),B46)</f>
        <v>120240</v>
      </c>
      <c r="C48" s="23"/>
      <c r="D48" s="23"/>
      <c r="E48" s="23"/>
      <c r="F48" s="22"/>
      <c r="G48" s="22"/>
      <c r="H48" s="22"/>
    </row>
    <row r="49" spans="1:8">
      <c r="A49" s="109" t="s">
        <v>78</v>
      </c>
      <c r="B49" s="111">
        <f>B5-ypaid</f>
        <v>16</v>
      </c>
      <c r="C49" s="23"/>
      <c r="D49" s="23"/>
      <c r="E49" s="23"/>
      <c r="F49" s="22"/>
      <c r="G49" s="22"/>
      <c r="H49" s="22"/>
    </row>
    <row r="50" spans="1:8">
      <c r="A50" s="109" t="s">
        <v>79</v>
      </c>
      <c r="B50" s="112"/>
      <c r="D50" s="23"/>
      <c r="E50" s="23"/>
      <c r="F50" s="22"/>
      <c r="G50" s="22"/>
      <c r="H50" s="22"/>
    </row>
    <row r="51" spans="1:8">
      <c r="A51" s="109" t="s">
        <v>80</v>
      </c>
      <c r="B51" s="113">
        <f>(B45/B48)^(1/B49)-1</f>
        <v>7.801719705845489E-2</v>
      </c>
      <c r="D51" s="23"/>
      <c r="E51" s="23"/>
      <c r="F51" s="22"/>
      <c r="G51" s="22"/>
      <c r="H51" s="22"/>
    </row>
    <row r="52" spans="1:8">
      <c r="A52" s="114" t="s">
        <v>81</v>
      </c>
    </row>
    <row r="53" spans="1:8">
      <c r="A53" s="115" t="s">
        <v>83</v>
      </c>
    </row>
    <row r="54" spans="1:8">
      <c r="A54" s="115" t="s">
        <v>82</v>
      </c>
    </row>
    <row r="55" spans="1:8">
      <c r="A55" s="115" t="s">
        <v>84</v>
      </c>
    </row>
    <row r="56" spans="1:8">
      <c r="A56" s="115" t="s">
        <v>85</v>
      </c>
    </row>
    <row r="57" spans="1:8">
      <c r="A57" s="115" t="s">
        <v>86</v>
      </c>
    </row>
    <row r="58" spans="1:8">
      <c r="A58" s="115" t="s">
        <v>87</v>
      </c>
    </row>
    <row r="59" spans="1:8">
      <c r="A59" s="115" t="s">
        <v>88</v>
      </c>
    </row>
    <row r="60" spans="1:8">
      <c r="A60" s="115" t="s">
        <v>89</v>
      </c>
    </row>
    <row r="61" spans="1:8">
      <c r="A61" s="116" t="s">
        <v>91</v>
      </c>
    </row>
    <row r="62" spans="1:8">
      <c r="A62" s="117" t="s">
        <v>93</v>
      </c>
      <c r="B62" s="118"/>
    </row>
    <row r="63" spans="1:8">
      <c r="A63" s="115" t="s">
        <v>103</v>
      </c>
      <c r="B63" s="118"/>
    </row>
    <row r="64" spans="1:8">
      <c r="A64" s="115" t="s">
        <v>104</v>
      </c>
      <c r="B64" s="118"/>
    </row>
    <row r="65" spans="1:2">
      <c r="A65" s="115" t="s">
        <v>105</v>
      </c>
      <c r="B65" s="118"/>
    </row>
    <row r="66" spans="1:2">
      <c r="A66" s="115" t="s">
        <v>95</v>
      </c>
      <c r="B66" s="118"/>
    </row>
    <row r="67" spans="1:2">
      <c r="A67" s="115" t="s">
        <v>96</v>
      </c>
      <c r="B67" s="118"/>
    </row>
    <row r="68" spans="1:2">
      <c r="A68" s="117" t="s">
        <v>94</v>
      </c>
      <c r="B68" s="118"/>
    </row>
    <row r="69" spans="1:2">
      <c r="A69" s="115" t="s">
        <v>92</v>
      </c>
      <c r="B69" s="118"/>
    </row>
    <row r="70" spans="1:2">
      <c r="A70" s="115" t="s">
        <v>98</v>
      </c>
      <c r="B70" s="118"/>
    </row>
    <row r="71" spans="1:2">
      <c r="A71" s="115" t="s">
        <v>99</v>
      </c>
      <c r="B71" s="118"/>
    </row>
    <row r="72" spans="1:2">
      <c r="A72" s="115" t="s">
        <v>100</v>
      </c>
      <c r="B72" s="118"/>
    </row>
    <row r="73" spans="1:2">
      <c r="A73" s="115" t="s">
        <v>97</v>
      </c>
      <c r="B73" s="118"/>
    </row>
    <row r="74" spans="1:2">
      <c r="A74" s="115" t="s">
        <v>108</v>
      </c>
    </row>
    <row r="75" spans="1:2">
      <c r="A75" s="115" t="s">
        <v>101</v>
      </c>
    </row>
    <row r="76" spans="1:2">
      <c r="A76" s="115" t="s">
        <v>102</v>
      </c>
    </row>
    <row r="77" spans="1:2">
      <c r="A77" s="115" t="s">
        <v>109</v>
      </c>
    </row>
    <row r="78" spans="1:2">
      <c r="A78" s="115" t="s">
        <v>106</v>
      </c>
    </row>
    <row r="79" spans="1:2">
      <c r="A79" s="115" t="s">
        <v>107</v>
      </c>
    </row>
  </sheetData>
  <phoneticPr fontId="2" type="noConversion"/>
  <conditionalFormatting sqref="A39:A40">
    <cfRule type="expression" dxfId="0" priority="1" stopIfTrue="1">
      <formula>$B$8&lt;5</formula>
    </cfRule>
  </conditionalFormatting>
  <dataValidations count="2">
    <dataValidation type="list" allowBlank="1" showInputMessage="1" showErrorMessage="1" sqref="B47">
      <formula1>$Q$4:$Q$6</formula1>
    </dataValidation>
    <dataValidation type="list" allowBlank="1" showInputMessage="1" showErrorMessage="1" sqref="B4:C4">
      <formula1>$G$17:$G$19</formula1>
    </dataValidation>
  </dataValidations>
  <hyperlinks>
    <hyperlink ref="D8" r:id="rId1"/>
    <hyperlink ref="A41" r:id="rId2"/>
    <hyperlink ref="A37" r:id="rId3"/>
  </hyperlinks>
  <pageMargins left="0.75" right="0.75" top="1" bottom="1" header="0.5" footer="0.5"/>
  <pageSetup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workbookViewId="0">
      <selection activeCell="E15" sqref="E15"/>
    </sheetView>
  </sheetViews>
  <sheetFormatPr defaultRowHeight="13.2"/>
  <cols>
    <col min="1" max="1" width="9.109375" style="3" customWidth="1"/>
  </cols>
  <sheetData>
    <row r="1" spans="1:27">
      <c r="A1" s="3" t="s">
        <v>1</v>
      </c>
    </row>
    <row r="2" spans="1:27">
      <c r="A2" s="3" t="s">
        <v>2</v>
      </c>
    </row>
    <row r="3" spans="1:27">
      <c r="A3" s="3" t="s">
        <v>3</v>
      </c>
      <c r="E3" s="4" t="s">
        <v>0</v>
      </c>
    </row>
    <row r="4" spans="1:27" s="4" customFormat="1">
      <c r="B4" s="4">
        <v>5</v>
      </c>
      <c r="C4" s="4">
        <f>B4+1</f>
        <v>6</v>
      </c>
      <c r="D4" s="4">
        <f t="shared" ref="D4:AA4" si="0">C4+1</f>
        <v>7</v>
      </c>
      <c r="E4" s="4">
        <f t="shared" si="0"/>
        <v>8</v>
      </c>
      <c r="F4" s="4">
        <f t="shared" si="0"/>
        <v>9</v>
      </c>
      <c r="G4" s="4">
        <f t="shared" si="0"/>
        <v>10</v>
      </c>
      <c r="H4" s="4">
        <f t="shared" si="0"/>
        <v>11</v>
      </c>
      <c r="I4" s="4">
        <f t="shared" si="0"/>
        <v>12</v>
      </c>
      <c r="J4" s="4">
        <f t="shared" si="0"/>
        <v>13</v>
      </c>
      <c r="K4" s="4">
        <f t="shared" si="0"/>
        <v>14</v>
      </c>
      <c r="L4" s="4">
        <f t="shared" si="0"/>
        <v>15</v>
      </c>
      <c r="M4" s="4">
        <f t="shared" si="0"/>
        <v>16</v>
      </c>
      <c r="N4" s="4">
        <f t="shared" si="0"/>
        <v>17</v>
      </c>
      <c r="O4" s="4">
        <f t="shared" si="0"/>
        <v>18</v>
      </c>
      <c r="P4" s="4">
        <f t="shared" si="0"/>
        <v>19</v>
      </c>
      <c r="Q4" s="4">
        <f t="shared" si="0"/>
        <v>20</v>
      </c>
      <c r="R4" s="4">
        <f t="shared" si="0"/>
        <v>21</v>
      </c>
      <c r="S4" s="4">
        <f t="shared" si="0"/>
        <v>22</v>
      </c>
      <c r="T4" s="4">
        <f t="shared" si="0"/>
        <v>23</v>
      </c>
      <c r="U4" s="4">
        <f t="shared" si="0"/>
        <v>24</v>
      </c>
      <c r="V4" s="4">
        <f t="shared" si="0"/>
        <v>25</v>
      </c>
      <c r="W4" s="4">
        <f t="shared" si="0"/>
        <v>26</v>
      </c>
      <c r="X4" s="4">
        <f t="shared" si="0"/>
        <v>27</v>
      </c>
      <c r="Y4" s="4">
        <f t="shared" si="0"/>
        <v>28</v>
      </c>
      <c r="Z4" s="4">
        <f t="shared" si="0"/>
        <v>29</v>
      </c>
      <c r="AA4" s="4">
        <f t="shared" si="0"/>
        <v>30</v>
      </c>
    </row>
    <row r="5" spans="1:27">
      <c r="A5" s="3">
        <v>1</v>
      </c>
      <c r="G5">
        <v>44.52</v>
      </c>
    </row>
    <row r="6" spans="1:27">
      <c r="A6" s="3">
        <v>1.5</v>
      </c>
      <c r="G6">
        <v>45.97</v>
      </c>
    </row>
    <row r="7" spans="1:27">
      <c r="A7" s="3">
        <v>2</v>
      </c>
      <c r="B7">
        <v>61.8</v>
      </c>
      <c r="C7">
        <v>58.13</v>
      </c>
      <c r="D7">
        <v>54.66</v>
      </c>
      <c r="E7">
        <v>51.96</v>
      </c>
      <c r="F7">
        <v>49.56</v>
      </c>
      <c r="G7">
        <v>47.43</v>
      </c>
      <c r="H7">
        <v>45.52</v>
      </c>
      <c r="I7">
        <v>43.83</v>
      </c>
      <c r="J7">
        <v>41.52</v>
      </c>
      <c r="K7">
        <v>39.340000000000003</v>
      </c>
      <c r="L7">
        <v>37.270000000000003</v>
      </c>
      <c r="M7">
        <v>34.619999999999997</v>
      </c>
      <c r="N7">
        <v>32.17</v>
      </c>
      <c r="O7">
        <v>29.92</v>
      </c>
      <c r="P7">
        <v>27.84</v>
      </c>
      <c r="Q7">
        <v>25.93</v>
      </c>
      <c r="R7">
        <v>24.17</v>
      </c>
      <c r="S7">
        <v>22.55</v>
      </c>
    </row>
    <row r="8" spans="1:27">
      <c r="A8" s="3">
        <v>3</v>
      </c>
      <c r="B8">
        <v>67.34</v>
      </c>
      <c r="C8">
        <v>63.34</v>
      </c>
      <c r="D8">
        <v>59.55</v>
      </c>
      <c r="E8">
        <v>55.97</v>
      </c>
      <c r="F8">
        <v>53.18</v>
      </c>
      <c r="G8">
        <v>50.7</v>
      </c>
      <c r="H8">
        <v>48.49</v>
      </c>
      <c r="I8">
        <v>46.53</v>
      </c>
      <c r="J8">
        <v>44.78</v>
      </c>
      <c r="K8">
        <v>42.42</v>
      </c>
      <c r="L8">
        <v>40.18</v>
      </c>
      <c r="M8">
        <v>37.31</v>
      </c>
      <c r="N8">
        <v>34.659999999999997</v>
      </c>
      <c r="O8">
        <v>32.229999999999997</v>
      </c>
      <c r="P8">
        <v>29.98</v>
      </c>
      <c r="Q8">
        <v>27.91</v>
      </c>
      <c r="R8">
        <v>26.01</v>
      </c>
      <c r="S8">
        <v>24.26</v>
      </c>
      <c r="T8">
        <v>22.66</v>
      </c>
      <c r="U8">
        <v>21.18</v>
      </c>
      <c r="V8">
        <v>19.829999999999998</v>
      </c>
      <c r="W8">
        <v>18.59</v>
      </c>
      <c r="X8">
        <v>17.46</v>
      </c>
      <c r="Y8">
        <v>16.420000000000002</v>
      </c>
      <c r="Z8">
        <v>15.48</v>
      </c>
      <c r="AA8">
        <v>14.62</v>
      </c>
    </row>
    <row r="9" spans="1:27">
      <c r="A9" s="3">
        <v>4</v>
      </c>
      <c r="B9">
        <v>73.39</v>
      </c>
      <c r="C9">
        <v>69.03</v>
      </c>
      <c r="D9">
        <v>64.89</v>
      </c>
      <c r="E9">
        <v>60.98</v>
      </c>
      <c r="F9">
        <v>57.28</v>
      </c>
      <c r="G9">
        <v>54.4</v>
      </c>
      <c r="H9">
        <v>51.84</v>
      </c>
      <c r="I9">
        <v>49.57</v>
      </c>
      <c r="J9">
        <v>47.54</v>
      </c>
      <c r="K9">
        <v>45.74</v>
      </c>
      <c r="L9">
        <v>43.32</v>
      </c>
      <c r="M9">
        <v>40.22</v>
      </c>
      <c r="N9">
        <v>37.36</v>
      </c>
      <c r="O9">
        <v>34.72</v>
      </c>
      <c r="P9">
        <v>32.29</v>
      </c>
      <c r="Q9">
        <v>30.06</v>
      </c>
      <c r="R9">
        <v>28</v>
      </c>
      <c r="S9">
        <v>26.11</v>
      </c>
      <c r="T9">
        <v>24.37</v>
      </c>
      <c r="U9">
        <v>22.78</v>
      </c>
      <c r="V9">
        <v>21.31</v>
      </c>
      <c r="W9">
        <v>19.97</v>
      </c>
      <c r="X9">
        <v>18.75</v>
      </c>
      <c r="Y9">
        <v>17.63</v>
      </c>
      <c r="Z9">
        <v>16.61</v>
      </c>
      <c r="AA9">
        <v>15.68</v>
      </c>
    </row>
    <row r="10" spans="1:27">
      <c r="A10" s="3">
        <v>5</v>
      </c>
      <c r="C10">
        <v>75.23</v>
      </c>
      <c r="D10">
        <v>70.709999999999994</v>
      </c>
      <c r="E10">
        <v>66.44</v>
      </c>
      <c r="F10">
        <v>62.4</v>
      </c>
      <c r="G10">
        <v>58.59</v>
      </c>
      <c r="H10">
        <v>55.62</v>
      </c>
      <c r="I10">
        <v>52.98</v>
      </c>
      <c r="J10">
        <v>50.64</v>
      </c>
      <c r="K10">
        <v>48.56</v>
      </c>
      <c r="L10">
        <v>46.71</v>
      </c>
      <c r="M10">
        <v>43.35</v>
      </c>
      <c r="N10">
        <v>40.26</v>
      </c>
      <c r="O10">
        <v>37.409999999999997</v>
      </c>
      <c r="P10">
        <v>34.78</v>
      </c>
      <c r="Q10">
        <v>32.369999999999997</v>
      </c>
      <c r="R10">
        <v>30.14</v>
      </c>
      <c r="S10">
        <v>28.1</v>
      </c>
      <c r="T10">
        <v>26.22</v>
      </c>
      <c r="U10">
        <v>24.49</v>
      </c>
      <c r="V10">
        <v>22.91</v>
      </c>
      <c r="W10">
        <v>21.46</v>
      </c>
      <c r="X10">
        <v>20.14</v>
      </c>
      <c r="Y10">
        <v>18.93</v>
      </c>
      <c r="Z10">
        <v>17.82</v>
      </c>
      <c r="AA10">
        <v>16.82</v>
      </c>
    </row>
    <row r="11" spans="1:27">
      <c r="A11" s="3">
        <v>6</v>
      </c>
      <c r="D11">
        <v>77.06</v>
      </c>
      <c r="E11">
        <v>72.400000000000006</v>
      </c>
      <c r="F11">
        <v>67.98</v>
      </c>
      <c r="G11">
        <v>63.82</v>
      </c>
      <c r="H11">
        <v>59.9</v>
      </c>
      <c r="I11">
        <v>56.84</v>
      </c>
      <c r="J11">
        <v>54.12</v>
      </c>
      <c r="K11">
        <v>51.72</v>
      </c>
      <c r="L11">
        <v>49.58</v>
      </c>
      <c r="M11">
        <v>46.74</v>
      </c>
      <c r="N11">
        <v>43.4</v>
      </c>
      <c r="O11">
        <v>40.31</v>
      </c>
      <c r="P11">
        <v>37.47</v>
      </c>
      <c r="Q11">
        <v>34.86</v>
      </c>
      <c r="R11">
        <v>32.450000000000003</v>
      </c>
      <c r="S11">
        <v>30.24</v>
      </c>
      <c r="T11">
        <v>28.21</v>
      </c>
      <c r="U11">
        <v>26.34</v>
      </c>
      <c r="V11">
        <v>24.63</v>
      </c>
      <c r="W11">
        <v>23.06</v>
      </c>
      <c r="X11">
        <v>21.63</v>
      </c>
      <c r="Y11">
        <v>20.32</v>
      </c>
      <c r="Z11">
        <v>19.13</v>
      </c>
      <c r="AA11">
        <v>18.04</v>
      </c>
    </row>
    <row r="12" spans="1:27">
      <c r="A12" s="3">
        <v>7</v>
      </c>
      <c r="E12">
        <v>78.900000000000006</v>
      </c>
      <c r="F12">
        <v>74.08</v>
      </c>
      <c r="G12">
        <v>69.53</v>
      </c>
      <c r="H12">
        <v>65.239999999999995</v>
      </c>
      <c r="I12">
        <v>61.21</v>
      </c>
      <c r="J12">
        <v>58.06</v>
      </c>
      <c r="K12">
        <v>55.27</v>
      </c>
      <c r="L12">
        <v>52.79</v>
      </c>
      <c r="M12">
        <v>49.61</v>
      </c>
      <c r="N12">
        <v>46.78</v>
      </c>
      <c r="O12">
        <v>43.45</v>
      </c>
      <c r="P12">
        <v>40.369999999999997</v>
      </c>
      <c r="Q12">
        <v>37.54</v>
      </c>
      <c r="R12">
        <v>34.94</v>
      </c>
      <c r="S12">
        <v>32.549999999999997</v>
      </c>
      <c r="T12">
        <v>30.35</v>
      </c>
      <c r="U12">
        <v>28.33</v>
      </c>
      <c r="V12">
        <v>26.48</v>
      </c>
      <c r="W12">
        <v>24.78</v>
      </c>
      <c r="X12">
        <v>23.23</v>
      </c>
      <c r="Y12">
        <v>21.82</v>
      </c>
      <c r="Z12">
        <v>20.53</v>
      </c>
      <c r="AA12">
        <v>19.350000000000001</v>
      </c>
    </row>
    <row r="13" spans="1:27">
      <c r="A13" s="3">
        <v>8</v>
      </c>
      <c r="F13">
        <v>80.73</v>
      </c>
      <c r="G13">
        <v>75.760000000000005</v>
      </c>
      <c r="H13">
        <v>71.08</v>
      </c>
      <c r="I13">
        <v>66.67</v>
      </c>
      <c r="J13">
        <v>62.52</v>
      </c>
      <c r="K13">
        <v>59.29</v>
      </c>
      <c r="L13">
        <v>56.42</v>
      </c>
      <c r="M13">
        <v>52.82</v>
      </c>
      <c r="N13">
        <v>49.64</v>
      </c>
      <c r="O13">
        <v>46.83</v>
      </c>
      <c r="P13">
        <v>43.5</v>
      </c>
      <c r="Q13">
        <v>40.44</v>
      </c>
      <c r="R13">
        <v>37.619999999999997</v>
      </c>
      <c r="S13">
        <v>35.03</v>
      </c>
      <c r="T13">
        <v>32.65</v>
      </c>
      <c r="U13">
        <v>30.47</v>
      </c>
      <c r="V13">
        <v>28.47</v>
      </c>
      <c r="W13">
        <v>26.64</v>
      </c>
      <c r="X13">
        <v>24.96</v>
      </c>
      <c r="Y13">
        <v>23.43</v>
      </c>
      <c r="Z13">
        <v>22.03</v>
      </c>
      <c r="AA13">
        <v>20.76</v>
      </c>
    </row>
    <row r="14" spans="1:27">
      <c r="A14" s="3">
        <v>9</v>
      </c>
      <c r="G14">
        <v>82.57</v>
      </c>
      <c r="H14">
        <v>77.45</v>
      </c>
      <c r="I14">
        <v>72.63</v>
      </c>
      <c r="J14">
        <v>68.09</v>
      </c>
      <c r="K14">
        <v>63.83</v>
      </c>
      <c r="L14">
        <v>60.51</v>
      </c>
      <c r="M14">
        <v>56.44</v>
      </c>
      <c r="N14">
        <v>52.86</v>
      </c>
      <c r="O14">
        <v>49.69</v>
      </c>
      <c r="P14">
        <v>46.88</v>
      </c>
      <c r="Q14">
        <v>43.57</v>
      </c>
      <c r="R14">
        <v>40.520000000000003</v>
      </c>
      <c r="S14">
        <v>37.72</v>
      </c>
      <c r="T14">
        <v>35.14</v>
      </c>
      <c r="U14">
        <v>32.78</v>
      </c>
      <c r="V14">
        <v>30.61</v>
      </c>
      <c r="W14">
        <v>28.63</v>
      </c>
      <c r="X14">
        <v>26.82</v>
      </c>
      <c r="Y14">
        <v>25.16</v>
      </c>
      <c r="Z14">
        <v>23.65</v>
      </c>
      <c r="AA14">
        <v>22.27</v>
      </c>
    </row>
    <row r="15" spans="1:27">
      <c r="A15" s="3">
        <v>10</v>
      </c>
      <c r="H15">
        <v>84.4</v>
      </c>
      <c r="I15">
        <v>79.13</v>
      </c>
      <c r="J15">
        <v>74.180000000000007</v>
      </c>
      <c r="K15">
        <v>69.52</v>
      </c>
      <c r="L15">
        <v>65.150000000000006</v>
      </c>
      <c r="M15">
        <v>60.53</v>
      </c>
      <c r="N15">
        <v>56.47</v>
      </c>
      <c r="O15">
        <v>52.9</v>
      </c>
      <c r="P15">
        <v>49.74</v>
      </c>
      <c r="Q15">
        <v>46.94</v>
      </c>
      <c r="R15">
        <v>43.64</v>
      </c>
      <c r="S15">
        <v>40.61</v>
      </c>
      <c r="T15">
        <v>37.83</v>
      </c>
      <c r="U15">
        <v>35.270000000000003</v>
      </c>
      <c r="V15">
        <v>32.92</v>
      </c>
      <c r="W15">
        <v>30.78</v>
      </c>
      <c r="X15">
        <v>28.81</v>
      </c>
      <c r="Y15">
        <v>27.02</v>
      </c>
      <c r="Z15">
        <v>25.38</v>
      </c>
      <c r="AA15">
        <v>23.89</v>
      </c>
    </row>
    <row r="16" spans="1:27">
      <c r="A16" s="3">
        <v>11</v>
      </c>
      <c r="I16">
        <v>86.24</v>
      </c>
      <c r="J16">
        <v>80.819999999999993</v>
      </c>
      <c r="K16">
        <v>75.73</v>
      </c>
      <c r="L16">
        <v>70.95</v>
      </c>
      <c r="M16">
        <v>65.17</v>
      </c>
      <c r="N16">
        <v>60.56</v>
      </c>
      <c r="O16">
        <v>56.51</v>
      </c>
      <c r="P16">
        <v>52.94</v>
      </c>
      <c r="Q16">
        <v>49.8</v>
      </c>
      <c r="R16">
        <v>47.02</v>
      </c>
      <c r="S16">
        <v>43.74</v>
      </c>
      <c r="T16">
        <v>40.72</v>
      </c>
      <c r="U16">
        <v>37.950000000000003</v>
      </c>
      <c r="V16">
        <v>35.42</v>
      </c>
      <c r="W16">
        <v>33.090000000000003</v>
      </c>
      <c r="X16">
        <v>30.97</v>
      </c>
      <c r="Y16">
        <v>29.02</v>
      </c>
      <c r="Z16">
        <v>27.25</v>
      </c>
      <c r="AA16">
        <v>25.64</v>
      </c>
    </row>
    <row r="17" spans="1:27">
      <c r="A17" s="3">
        <v>12</v>
      </c>
      <c r="J17">
        <v>88.07</v>
      </c>
      <c r="K17">
        <v>82.5</v>
      </c>
      <c r="L17">
        <v>77.28</v>
      </c>
      <c r="M17">
        <v>70.959999999999994</v>
      </c>
      <c r="N17">
        <v>65.19</v>
      </c>
      <c r="O17">
        <v>60.59</v>
      </c>
      <c r="P17">
        <v>56.55</v>
      </c>
      <c r="Q17">
        <v>53</v>
      </c>
      <c r="R17">
        <v>49.87</v>
      </c>
      <c r="S17">
        <v>47.1</v>
      </c>
      <c r="T17">
        <v>43.84</v>
      </c>
      <c r="U17">
        <v>40.840000000000003</v>
      </c>
      <c r="V17">
        <v>38.1</v>
      </c>
      <c r="W17">
        <v>35.58</v>
      </c>
      <c r="X17">
        <v>33.26</v>
      </c>
      <c r="Y17">
        <v>31.18</v>
      </c>
      <c r="Z17">
        <v>29.26</v>
      </c>
      <c r="AA17">
        <v>27.51</v>
      </c>
    </row>
    <row r="18" spans="1:27">
      <c r="A18" s="3">
        <v>13</v>
      </c>
      <c r="K18">
        <v>89.91</v>
      </c>
      <c r="L18">
        <v>84.19</v>
      </c>
      <c r="M18">
        <v>77.290000000000006</v>
      </c>
      <c r="N18">
        <v>70.98</v>
      </c>
      <c r="O18">
        <v>65.22</v>
      </c>
      <c r="P18">
        <v>60.63</v>
      </c>
      <c r="Q18">
        <v>56.6</v>
      </c>
      <c r="R18">
        <v>53.07</v>
      </c>
      <c r="S18">
        <v>19.95</v>
      </c>
      <c r="T18">
        <v>47.2</v>
      </c>
      <c r="U18">
        <v>43.96</v>
      </c>
      <c r="V18">
        <v>40.98</v>
      </c>
      <c r="W18">
        <v>38.26</v>
      </c>
      <c r="X18">
        <v>35.770000000000003</v>
      </c>
      <c r="Y18">
        <v>33.49</v>
      </c>
      <c r="Z18">
        <v>31.41</v>
      </c>
      <c r="AA18">
        <v>29.53</v>
      </c>
    </row>
    <row r="19" spans="1:27">
      <c r="A19" s="3">
        <v>14</v>
      </c>
      <c r="L19">
        <v>91.74</v>
      </c>
      <c r="M19">
        <v>84.19</v>
      </c>
      <c r="N19">
        <v>77.3</v>
      </c>
      <c r="O19">
        <v>71</v>
      </c>
      <c r="P19">
        <v>65.239999999999995</v>
      </c>
      <c r="Q19">
        <v>60.67</v>
      </c>
      <c r="R19">
        <v>56.66</v>
      </c>
      <c r="S19">
        <v>53.14</v>
      </c>
      <c r="T19">
        <v>50.04</v>
      </c>
      <c r="U19">
        <v>47.31</v>
      </c>
      <c r="V19">
        <v>44.09</v>
      </c>
      <c r="W19">
        <v>41.14</v>
      </c>
      <c r="X19">
        <v>38.44</v>
      </c>
      <c r="Y19">
        <v>35.97</v>
      </c>
      <c r="Z19">
        <v>33.72</v>
      </c>
      <c r="AA19">
        <v>31.67</v>
      </c>
    </row>
    <row r="20" spans="1:27">
      <c r="A20" s="3">
        <v>15</v>
      </c>
      <c r="M20">
        <v>91.74</v>
      </c>
      <c r="N20">
        <v>84.2</v>
      </c>
      <c r="O20">
        <v>77.331000000000003</v>
      </c>
      <c r="P20">
        <v>71.02</v>
      </c>
      <c r="Q20">
        <v>65.28</v>
      </c>
      <c r="R20">
        <v>60.72</v>
      </c>
      <c r="S20">
        <v>56.72</v>
      </c>
      <c r="T20">
        <v>53.22</v>
      </c>
      <c r="U20">
        <v>50.14</v>
      </c>
      <c r="V20">
        <v>47.43</v>
      </c>
      <c r="W20">
        <v>44.23</v>
      </c>
      <c r="X20">
        <v>41.31</v>
      </c>
      <c r="Y20">
        <v>38.630000000000003</v>
      </c>
      <c r="Z20">
        <v>36.200000000000003</v>
      </c>
      <c r="AA20">
        <v>33.979999999999997</v>
      </c>
    </row>
    <row r="21" spans="1:27">
      <c r="A21" s="3">
        <v>16</v>
      </c>
      <c r="N21">
        <v>91.74</v>
      </c>
      <c r="O21">
        <v>84.2</v>
      </c>
      <c r="P21">
        <v>77.33</v>
      </c>
      <c r="Q21">
        <v>71.040000000000006</v>
      </c>
      <c r="R21">
        <v>65.31</v>
      </c>
      <c r="S21">
        <v>60.777000000000001</v>
      </c>
      <c r="T21">
        <v>56.79</v>
      </c>
      <c r="U21">
        <v>53.31</v>
      </c>
      <c r="V21">
        <v>50.25</v>
      </c>
      <c r="W21">
        <v>47.57</v>
      </c>
      <c r="X21">
        <v>44.39</v>
      </c>
      <c r="Y21">
        <v>41.6</v>
      </c>
      <c r="Z21">
        <v>38.85</v>
      </c>
      <c r="AA21">
        <v>36.44</v>
      </c>
    </row>
    <row r="22" spans="1:27">
      <c r="A22" s="3">
        <v>17</v>
      </c>
      <c r="O22">
        <v>91.74</v>
      </c>
      <c r="P22">
        <v>84.22</v>
      </c>
      <c r="Q22">
        <v>77.33</v>
      </c>
      <c r="R22">
        <v>71.06</v>
      </c>
      <c r="S22">
        <v>65.349999999999994</v>
      </c>
      <c r="T22">
        <v>60.82</v>
      </c>
      <c r="U22">
        <v>56.87</v>
      </c>
      <c r="V22">
        <v>53.4</v>
      </c>
      <c r="W22">
        <v>50.37</v>
      </c>
      <c r="X22">
        <v>47.17</v>
      </c>
      <c r="Y22">
        <v>44.57</v>
      </c>
      <c r="Z22">
        <v>41.7</v>
      </c>
      <c r="AA22">
        <v>39.090000000000003</v>
      </c>
    </row>
    <row r="23" spans="1:27">
      <c r="A23" s="3">
        <v>18</v>
      </c>
      <c r="P23">
        <v>91.74</v>
      </c>
      <c r="Q23">
        <v>84.22</v>
      </c>
      <c r="R23">
        <v>77.34</v>
      </c>
      <c r="S23">
        <v>71.09</v>
      </c>
      <c r="T23">
        <v>65.39</v>
      </c>
      <c r="U23">
        <v>60.89</v>
      </c>
      <c r="V23">
        <v>56.95</v>
      </c>
      <c r="W23">
        <v>53.51</v>
      </c>
      <c r="X23">
        <v>50.5</v>
      </c>
      <c r="Y23">
        <v>47.87</v>
      </c>
      <c r="Z23">
        <v>44.76</v>
      </c>
      <c r="AA23">
        <v>41.92</v>
      </c>
    </row>
    <row r="24" spans="1:27">
      <c r="A24" s="3">
        <v>19</v>
      </c>
      <c r="Q24">
        <v>91.74</v>
      </c>
      <c r="R24">
        <v>84.22</v>
      </c>
      <c r="S24">
        <v>77.36</v>
      </c>
      <c r="T24">
        <v>71.12</v>
      </c>
      <c r="U24">
        <v>65.44</v>
      </c>
      <c r="V24">
        <v>60.95</v>
      </c>
      <c r="W24">
        <v>57.04</v>
      </c>
      <c r="X24">
        <v>53.63</v>
      </c>
      <c r="Y24">
        <v>50.65</v>
      </c>
      <c r="Z24">
        <v>48.05</v>
      </c>
      <c r="AA24">
        <v>44.97</v>
      </c>
    </row>
    <row r="25" spans="1:27">
      <c r="A25" s="3">
        <v>20</v>
      </c>
      <c r="R25">
        <v>91.74</v>
      </c>
      <c r="S25">
        <v>84.22</v>
      </c>
      <c r="T25">
        <v>77.38</v>
      </c>
      <c r="U25">
        <v>71.150000000000006</v>
      </c>
      <c r="V25">
        <v>65.489999999999995</v>
      </c>
      <c r="W25">
        <v>61.03</v>
      </c>
      <c r="X25">
        <v>57.14</v>
      </c>
      <c r="Y25">
        <v>53.76</v>
      </c>
      <c r="Z25">
        <v>50.81</v>
      </c>
      <c r="AA25">
        <v>48.24</v>
      </c>
    </row>
    <row r="26" spans="1:27">
      <c r="A26" s="3">
        <v>21</v>
      </c>
      <c r="S26">
        <v>91.74</v>
      </c>
      <c r="T26">
        <v>84.23</v>
      </c>
      <c r="U26">
        <v>77.39</v>
      </c>
      <c r="V26">
        <v>71.19</v>
      </c>
      <c r="W26">
        <v>65.55</v>
      </c>
      <c r="X26">
        <v>61.11</v>
      </c>
      <c r="Y26">
        <v>57.25</v>
      </c>
      <c r="Z26">
        <v>53.9</v>
      </c>
      <c r="AA26">
        <v>50.98</v>
      </c>
    </row>
    <row r="27" spans="1:27">
      <c r="A27" s="3">
        <v>22</v>
      </c>
      <c r="T27">
        <v>91.74</v>
      </c>
      <c r="U27">
        <v>84.23</v>
      </c>
      <c r="V27">
        <v>77.41</v>
      </c>
      <c r="W27">
        <v>71.22</v>
      </c>
      <c r="X27">
        <v>65.61</v>
      </c>
      <c r="Y27">
        <v>61.2</v>
      </c>
      <c r="Z27">
        <v>57.37</v>
      </c>
      <c r="AA27">
        <v>54.05</v>
      </c>
    </row>
    <row r="28" spans="1:27">
      <c r="A28" s="3">
        <v>23</v>
      </c>
      <c r="U28">
        <v>91.74</v>
      </c>
      <c r="V28">
        <v>84.24</v>
      </c>
      <c r="W28">
        <v>77.44</v>
      </c>
      <c r="X28">
        <v>71.27</v>
      </c>
      <c r="Y28">
        <v>65.680000000000007</v>
      </c>
      <c r="Z28">
        <v>61.3</v>
      </c>
      <c r="AA28">
        <v>57.5</v>
      </c>
    </row>
    <row r="29" spans="1:27">
      <c r="A29" s="3">
        <v>24</v>
      </c>
      <c r="V29">
        <v>91.74</v>
      </c>
      <c r="W29">
        <v>84.25</v>
      </c>
      <c r="X29">
        <v>77.459999999999994</v>
      </c>
      <c r="Y29">
        <v>71.31</v>
      </c>
      <c r="Z29">
        <v>65.760000000000005</v>
      </c>
      <c r="AA29">
        <v>61.41</v>
      </c>
    </row>
    <row r="30" spans="1:27">
      <c r="A30" s="3">
        <v>25</v>
      </c>
      <c r="W30">
        <v>91.74</v>
      </c>
      <c r="X30">
        <v>84.26</v>
      </c>
      <c r="Y30">
        <v>77.489999999999995</v>
      </c>
      <c r="Z30">
        <v>71.36</v>
      </c>
      <c r="AA30">
        <v>65.84</v>
      </c>
    </row>
    <row r="31" spans="1:27">
      <c r="A31" s="3">
        <v>26</v>
      </c>
      <c r="X31">
        <v>91.74</v>
      </c>
      <c r="Y31">
        <v>84.27</v>
      </c>
      <c r="Z31">
        <v>77.52</v>
      </c>
      <c r="AA31">
        <v>71.42</v>
      </c>
    </row>
    <row r="32" spans="1:27">
      <c r="A32" s="3">
        <v>27</v>
      </c>
      <c r="Y32">
        <v>91.74</v>
      </c>
      <c r="Z32">
        <v>84.28</v>
      </c>
      <c r="AA32">
        <v>77.55</v>
      </c>
    </row>
    <row r="33" spans="1:27">
      <c r="A33" s="3">
        <v>28</v>
      </c>
      <c r="Z33">
        <v>91.74</v>
      </c>
      <c r="AA33">
        <v>84.29</v>
      </c>
    </row>
    <row r="34" spans="1:27">
      <c r="A34" s="3">
        <v>29</v>
      </c>
      <c r="AA34">
        <v>91.74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6"/>
  <sheetViews>
    <sheetView workbookViewId="0">
      <selection activeCell="W8" sqref="W8"/>
    </sheetView>
  </sheetViews>
  <sheetFormatPr defaultRowHeight="13.2"/>
  <cols>
    <col min="3" max="3" width="0" hidden="1" customWidth="1"/>
    <col min="5" max="5" width="0" hidden="1" customWidth="1"/>
    <col min="7" max="7" width="0" hidden="1" customWidth="1"/>
    <col min="9" max="9" width="0" hidden="1" customWidth="1"/>
    <col min="11" max="11" width="0" hidden="1" customWidth="1"/>
    <col min="13" max="13" width="0" hidden="1" customWidth="1"/>
    <col min="15" max="15" width="0" hidden="1" customWidth="1"/>
    <col min="17" max="17" width="0" hidden="1" customWidth="1"/>
    <col min="19" max="19" width="0" hidden="1" customWidth="1"/>
    <col min="21" max="21" width="0" hidden="1" customWidth="1"/>
    <col min="22" max="22" width="21.109375" hidden="1" customWidth="1"/>
  </cols>
  <sheetData>
    <row r="1" spans="1:22">
      <c r="A1" s="1"/>
      <c r="B1" s="2">
        <v>5</v>
      </c>
      <c r="C1" s="2"/>
      <c r="D1" s="2">
        <v>6</v>
      </c>
      <c r="E1" s="2"/>
      <c r="F1" s="2">
        <v>7</v>
      </c>
      <c r="G1" s="2"/>
      <c r="H1" s="2">
        <v>8</v>
      </c>
      <c r="I1" s="2"/>
      <c r="J1" s="2">
        <v>9</v>
      </c>
      <c r="K1" s="2"/>
      <c r="L1" s="2">
        <v>10</v>
      </c>
      <c r="M1" s="2"/>
      <c r="N1" s="2">
        <v>11</v>
      </c>
      <c r="O1" s="2"/>
      <c r="P1" s="2">
        <v>12</v>
      </c>
      <c r="Q1" s="2"/>
      <c r="R1" s="2">
        <v>13</v>
      </c>
      <c r="S1" s="1"/>
    </row>
    <row r="2" spans="1:22">
      <c r="A2" s="2">
        <v>1</v>
      </c>
      <c r="B2" s="1"/>
      <c r="C2" s="1">
        <f t="shared" ref="C2:C14" si="0">IF(term=term5,IF(pppaid=A2,B2,0),0)</f>
        <v>0</v>
      </c>
      <c r="D2" s="1"/>
      <c r="E2" s="1">
        <f t="shared" ref="E2:E14" si="1">IF(term=term6,IF(pppaid=A2,D2,0),0)</f>
        <v>0</v>
      </c>
      <c r="F2" s="1"/>
      <c r="G2" s="1">
        <f t="shared" ref="G2:G14" si="2">IF(term=term7,IF(pppaid=A2,F2,0),0)</f>
        <v>0</v>
      </c>
      <c r="H2" s="1"/>
      <c r="I2" s="1">
        <f t="shared" ref="I2:I14" si="3">IF(term=term8,IF(pppaid=A2,H2,0),0)</f>
        <v>0</v>
      </c>
      <c r="J2" s="1"/>
      <c r="K2" s="1">
        <f t="shared" ref="K2:K14" si="4">IF(term=term9,IF(pppaid=A2,J2,0),0)</f>
        <v>0</v>
      </c>
      <c r="L2" s="1">
        <v>44.52</v>
      </c>
      <c r="M2" s="1">
        <f t="shared" ref="M2:M14" si="5">IF(term=term10,IF(pppaid=A2,L2,0),0)</f>
        <v>0</v>
      </c>
      <c r="N2" s="1"/>
      <c r="O2" s="1">
        <f t="shared" ref="O2:O14" si="6">IF(term=term11,IF(pppaid=A2,N2,0),0)</f>
        <v>0</v>
      </c>
      <c r="P2" s="1"/>
      <c r="Q2" s="1">
        <f t="shared" ref="Q2:Q14" si="7">IF(term=term12,IF(pppaid=A2,P2,0),0)</f>
        <v>0</v>
      </c>
      <c r="R2" s="1"/>
      <c r="S2" s="1">
        <f t="shared" ref="S2:S14" si="8">IF(term=term13,IF(pppaid=A2,R2,0),0)</f>
        <v>0</v>
      </c>
      <c r="U2">
        <f>Calculator!B5</f>
        <v>20</v>
      </c>
      <c r="V2" t="s">
        <v>4</v>
      </c>
    </row>
    <row r="3" spans="1:22">
      <c r="A3" s="2">
        <v>1.5</v>
      </c>
      <c r="B3" s="1"/>
      <c r="C3" s="1">
        <f t="shared" si="0"/>
        <v>0</v>
      </c>
      <c r="D3" s="1"/>
      <c r="E3" s="1">
        <f t="shared" si="1"/>
        <v>0</v>
      </c>
      <c r="F3" s="1"/>
      <c r="G3" s="1">
        <f t="shared" si="2"/>
        <v>0</v>
      </c>
      <c r="H3" s="1"/>
      <c r="I3" s="1">
        <f t="shared" si="3"/>
        <v>0</v>
      </c>
      <c r="J3" s="1"/>
      <c r="K3" s="1">
        <f t="shared" si="4"/>
        <v>0</v>
      </c>
      <c r="L3" s="1">
        <v>45.97</v>
      </c>
      <c r="M3" s="1">
        <f t="shared" si="5"/>
        <v>0</v>
      </c>
      <c r="N3" s="1"/>
      <c r="O3" s="1">
        <f t="shared" si="6"/>
        <v>0</v>
      </c>
      <c r="P3" s="1"/>
      <c r="Q3" s="1">
        <f t="shared" si="7"/>
        <v>0</v>
      </c>
      <c r="R3" s="1"/>
      <c r="S3" s="1">
        <f t="shared" si="8"/>
        <v>0</v>
      </c>
      <c r="U3">
        <f>Calculator!B8</f>
        <v>4</v>
      </c>
      <c r="V3" t="s">
        <v>5</v>
      </c>
    </row>
    <row r="4" spans="1:22">
      <c r="A4" s="2">
        <v>2</v>
      </c>
      <c r="B4" s="1">
        <v>61.8</v>
      </c>
      <c r="C4" s="1">
        <f t="shared" si="0"/>
        <v>0</v>
      </c>
      <c r="D4" s="1">
        <v>58.13</v>
      </c>
      <c r="E4" s="1">
        <f t="shared" si="1"/>
        <v>0</v>
      </c>
      <c r="F4" s="1">
        <v>54.66</v>
      </c>
      <c r="G4" s="1">
        <f t="shared" si="2"/>
        <v>0</v>
      </c>
      <c r="H4" s="1">
        <v>51.96</v>
      </c>
      <c r="I4" s="1">
        <f t="shared" si="3"/>
        <v>0</v>
      </c>
      <c r="J4" s="1">
        <v>49.56</v>
      </c>
      <c r="K4" s="1">
        <f t="shared" si="4"/>
        <v>0</v>
      </c>
      <c r="L4" s="1">
        <v>47.43</v>
      </c>
      <c r="M4" s="1">
        <f t="shared" si="5"/>
        <v>0</v>
      </c>
      <c r="N4" s="1">
        <v>45.52</v>
      </c>
      <c r="O4" s="1">
        <f t="shared" si="6"/>
        <v>0</v>
      </c>
      <c r="P4" s="1">
        <v>43.83</v>
      </c>
      <c r="Q4" s="1">
        <f t="shared" si="7"/>
        <v>0</v>
      </c>
      <c r="R4" s="1">
        <v>41.52</v>
      </c>
      <c r="S4" s="1">
        <f t="shared" si="8"/>
        <v>0</v>
      </c>
    </row>
    <row r="5" spans="1:22">
      <c r="A5" s="2">
        <v>3</v>
      </c>
      <c r="B5" s="1">
        <v>67.34</v>
      </c>
      <c r="C5" s="1">
        <f t="shared" si="0"/>
        <v>0</v>
      </c>
      <c r="D5" s="1">
        <v>63.34</v>
      </c>
      <c r="E5" s="1">
        <f t="shared" si="1"/>
        <v>0</v>
      </c>
      <c r="F5" s="1">
        <v>59.55</v>
      </c>
      <c r="G5" s="1">
        <f t="shared" si="2"/>
        <v>0</v>
      </c>
      <c r="H5" s="1">
        <v>55.97</v>
      </c>
      <c r="I5" s="1">
        <f t="shared" si="3"/>
        <v>0</v>
      </c>
      <c r="J5" s="1">
        <v>53.18</v>
      </c>
      <c r="K5" s="1">
        <f t="shared" si="4"/>
        <v>0</v>
      </c>
      <c r="L5" s="1">
        <v>50.7</v>
      </c>
      <c r="M5" s="1">
        <f t="shared" si="5"/>
        <v>0</v>
      </c>
      <c r="N5" s="1">
        <v>48.49</v>
      </c>
      <c r="O5" s="1">
        <f t="shared" si="6"/>
        <v>0</v>
      </c>
      <c r="P5" s="1">
        <v>46.53</v>
      </c>
      <c r="Q5" s="1">
        <f t="shared" si="7"/>
        <v>0</v>
      </c>
      <c r="R5" s="1">
        <v>44.78</v>
      </c>
      <c r="S5" s="1">
        <f t="shared" si="8"/>
        <v>0</v>
      </c>
      <c r="U5">
        <f>SUM(C15,E15,G15,I15,K15,M15,O15,Q15,S15,C37,E37,G37,I37,K37,M37,O37,Q37,S37,C66,E66,G66,I66,K66,M66,O66,Q66)</f>
        <v>30.06</v>
      </c>
      <c r="V5" t="s">
        <v>6</v>
      </c>
    </row>
    <row r="6" spans="1:22">
      <c r="A6" s="2">
        <v>4</v>
      </c>
      <c r="B6" s="1">
        <v>73.39</v>
      </c>
      <c r="C6" s="1">
        <f t="shared" si="0"/>
        <v>0</v>
      </c>
      <c r="D6" s="1">
        <v>69.03</v>
      </c>
      <c r="E6" s="1">
        <f t="shared" si="1"/>
        <v>0</v>
      </c>
      <c r="F6" s="1">
        <v>64.89</v>
      </c>
      <c r="G6" s="1">
        <f t="shared" si="2"/>
        <v>0</v>
      </c>
      <c r="H6" s="1">
        <v>60.98</v>
      </c>
      <c r="I6" s="1">
        <f t="shared" si="3"/>
        <v>0</v>
      </c>
      <c r="J6" s="1">
        <v>57.28</v>
      </c>
      <c r="K6" s="1">
        <f t="shared" si="4"/>
        <v>0</v>
      </c>
      <c r="L6" s="1">
        <v>54.4</v>
      </c>
      <c r="M6" s="1">
        <f t="shared" si="5"/>
        <v>0</v>
      </c>
      <c r="N6" s="1">
        <v>51.84</v>
      </c>
      <c r="O6" s="1">
        <f t="shared" si="6"/>
        <v>0</v>
      </c>
      <c r="P6" s="1">
        <v>49.57</v>
      </c>
      <c r="Q6" s="1">
        <f t="shared" si="7"/>
        <v>0</v>
      </c>
      <c r="R6" s="1">
        <v>47.54</v>
      </c>
      <c r="S6" s="1">
        <f t="shared" si="8"/>
        <v>0</v>
      </c>
    </row>
    <row r="7" spans="1:22">
      <c r="A7" s="2">
        <v>5</v>
      </c>
      <c r="B7" s="1"/>
      <c r="C7" s="1">
        <f t="shared" si="0"/>
        <v>0</v>
      </c>
      <c r="D7" s="1">
        <v>75.23</v>
      </c>
      <c r="E7" s="1">
        <f t="shared" si="1"/>
        <v>0</v>
      </c>
      <c r="F7" s="1">
        <v>70.709999999999994</v>
      </c>
      <c r="G7" s="1">
        <f t="shared" si="2"/>
        <v>0</v>
      </c>
      <c r="H7" s="1">
        <v>66.44</v>
      </c>
      <c r="I7" s="1">
        <f t="shared" si="3"/>
        <v>0</v>
      </c>
      <c r="J7" s="1">
        <v>62.4</v>
      </c>
      <c r="K7" s="1">
        <f t="shared" si="4"/>
        <v>0</v>
      </c>
      <c r="L7" s="1">
        <v>58.59</v>
      </c>
      <c r="M7" s="1">
        <f t="shared" si="5"/>
        <v>0</v>
      </c>
      <c r="N7" s="1">
        <v>55.62</v>
      </c>
      <c r="O7" s="1">
        <f t="shared" si="6"/>
        <v>0</v>
      </c>
      <c r="P7" s="1">
        <v>52.98</v>
      </c>
      <c r="Q7" s="1">
        <f t="shared" si="7"/>
        <v>0</v>
      </c>
      <c r="R7" s="1">
        <v>50.64</v>
      </c>
      <c r="S7" s="1">
        <f t="shared" si="8"/>
        <v>0</v>
      </c>
    </row>
    <row r="8" spans="1:22">
      <c r="A8" s="2">
        <v>6</v>
      </c>
      <c r="B8" s="1"/>
      <c r="C8" s="1">
        <f t="shared" si="0"/>
        <v>0</v>
      </c>
      <c r="D8" s="1"/>
      <c r="E8" s="1">
        <f t="shared" si="1"/>
        <v>0</v>
      </c>
      <c r="F8" s="1">
        <v>77.06</v>
      </c>
      <c r="G8" s="1">
        <f t="shared" si="2"/>
        <v>0</v>
      </c>
      <c r="H8" s="1">
        <v>72.400000000000006</v>
      </c>
      <c r="I8" s="1">
        <f t="shared" si="3"/>
        <v>0</v>
      </c>
      <c r="J8" s="1">
        <v>67.98</v>
      </c>
      <c r="K8" s="1">
        <f t="shared" si="4"/>
        <v>0</v>
      </c>
      <c r="L8" s="1">
        <v>63.82</v>
      </c>
      <c r="M8" s="1">
        <f t="shared" si="5"/>
        <v>0</v>
      </c>
      <c r="N8" s="1">
        <v>59.9</v>
      </c>
      <c r="O8" s="1">
        <f t="shared" si="6"/>
        <v>0</v>
      </c>
      <c r="P8" s="1">
        <v>56.84</v>
      </c>
      <c r="Q8" s="1">
        <f t="shared" si="7"/>
        <v>0</v>
      </c>
      <c r="R8" s="1">
        <v>54.12</v>
      </c>
      <c r="S8" s="1">
        <f t="shared" si="8"/>
        <v>0</v>
      </c>
    </row>
    <row r="9" spans="1:22">
      <c r="A9" s="2">
        <v>7</v>
      </c>
      <c r="B9" s="1"/>
      <c r="C9" s="1">
        <f t="shared" si="0"/>
        <v>0</v>
      </c>
      <c r="D9" s="1"/>
      <c r="E9" s="1">
        <f t="shared" si="1"/>
        <v>0</v>
      </c>
      <c r="F9" s="1"/>
      <c r="G9" s="1">
        <f t="shared" si="2"/>
        <v>0</v>
      </c>
      <c r="H9" s="1">
        <v>78.900000000000006</v>
      </c>
      <c r="I9" s="1">
        <f t="shared" si="3"/>
        <v>0</v>
      </c>
      <c r="J9" s="1">
        <v>74.08</v>
      </c>
      <c r="K9" s="1">
        <f t="shared" si="4"/>
        <v>0</v>
      </c>
      <c r="L9" s="1">
        <v>69.53</v>
      </c>
      <c r="M9" s="1">
        <f t="shared" si="5"/>
        <v>0</v>
      </c>
      <c r="N9" s="1">
        <v>65.239999999999995</v>
      </c>
      <c r="O9" s="1">
        <f t="shared" si="6"/>
        <v>0</v>
      </c>
      <c r="P9" s="1">
        <v>61.21</v>
      </c>
      <c r="Q9" s="1">
        <f t="shared" si="7"/>
        <v>0</v>
      </c>
      <c r="R9" s="1">
        <v>58.06</v>
      </c>
      <c r="S9" s="1">
        <f t="shared" si="8"/>
        <v>0</v>
      </c>
    </row>
    <row r="10" spans="1:22">
      <c r="A10" s="2">
        <v>8</v>
      </c>
      <c r="B10" s="1"/>
      <c r="C10" s="1">
        <f t="shared" si="0"/>
        <v>0</v>
      </c>
      <c r="D10" s="1"/>
      <c r="E10" s="1">
        <f t="shared" si="1"/>
        <v>0</v>
      </c>
      <c r="F10" s="1"/>
      <c r="G10" s="1">
        <f t="shared" si="2"/>
        <v>0</v>
      </c>
      <c r="H10" s="1"/>
      <c r="I10" s="1">
        <f t="shared" si="3"/>
        <v>0</v>
      </c>
      <c r="J10" s="1">
        <v>80.73</v>
      </c>
      <c r="K10" s="1">
        <f t="shared" si="4"/>
        <v>0</v>
      </c>
      <c r="L10" s="1">
        <v>75.760000000000005</v>
      </c>
      <c r="M10" s="1">
        <f t="shared" si="5"/>
        <v>0</v>
      </c>
      <c r="N10" s="1">
        <v>71.08</v>
      </c>
      <c r="O10" s="1">
        <f t="shared" si="6"/>
        <v>0</v>
      </c>
      <c r="P10" s="1">
        <v>66.67</v>
      </c>
      <c r="Q10" s="1">
        <f t="shared" si="7"/>
        <v>0</v>
      </c>
      <c r="R10" s="1">
        <v>62.52</v>
      </c>
      <c r="S10" s="1">
        <f t="shared" si="8"/>
        <v>0</v>
      </c>
    </row>
    <row r="11" spans="1:22">
      <c r="A11" s="2">
        <v>9</v>
      </c>
      <c r="B11" s="1"/>
      <c r="C11" s="1">
        <f t="shared" si="0"/>
        <v>0</v>
      </c>
      <c r="D11" s="1"/>
      <c r="E11" s="1">
        <f t="shared" si="1"/>
        <v>0</v>
      </c>
      <c r="F11" s="1"/>
      <c r="G11" s="1">
        <f t="shared" si="2"/>
        <v>0</v>
      </c>
      <c r="H11" s="1"/>
      <c r="I11" s="1">
        <f t="shared" si="3"/>
        <v>0</v>
      </c>
      <c r="J11" s="1"/>
      <c r="K11" s="1">
        <f t="shared" si="4"/>
        <v>0</v>
      </c>
      <c r="L11" s="1">
        <v>82.57</v>
      </c>
      <c r="M11" s="1">
        <f t="shared" si="5"/>
        <v>0</v>
      </c>
      <c r="N11" s="1">
        <v>77.45</v>
      </c>
      <c r="O11" s="1">
        <f t="shared" si="6"/>
        <v>0</v>
      </c>
      <c r="P11" s="1">
        <v>72.63</v>
      </c>
      <c r="Q11" s="1">
        <f t="shared" si="7"/>
        <v>0</v>
      </c>
      <c r="R11" s="1">
        <v>68.09</v>
      </c>
      <c r="S11" s="1">
        <f t="shared" si="8"/>
        <v>0</v>
      </c>
    </row>
    <row r="12" spans="1:22">
      <c r="A12" s="2">
        <v>10</v>
      </c>
      <c r="B12" s="1"/>
      <c r="C12" s="1">
        <f t="shared" si="0"/>
        <v>0</v>
      </c>
      <c r="D12" s="1"/>
      <c r="E12" s="1">
        <f t="shared" si="1"/>
        <v>0</v>
      </c>
      <c r="F12" s="1"/>
      <c r="G12" s="1">
        <f t="shared" si="2"/>
        <v>0</v>
      </c>
      <c r="H12" s="1"/>
      <c r="I12" s="1">
        <f t="shared" si="3"/>
        <v>0</v>
      </c>
      <c r="J12" s="1"/>
      <c r="K12" s="1">
        <f t="shared" si="4"/>
        <v>0</v>
      </c>
      <c r="L12" s="1"/>
      <c r="M12" s="1">
        <f t="shared" si="5"/>
        <v>0</v>
      </c>
      <c r="N12" s="1">
        <v>84.4</v>
      </c>
      <c r="O12" s="1">
        <f t="shared" si="6"/>
        <v>0</v>
      </c>
      <c r="P12" s="1">
        <v>79.13</v>
      </c>
      <c r="Q12" s="1">
        <f t="shared" si="7"/>
        <v>0</v>
      </c>
      <c r="R12" s="1">
        <v>74.180000000000007</v>
      </c>
      <c r="S12" s="1">
        <f t="shared" si="8"/>
        <v>0</v>
      </c>
    </row>
    <row r="13" spans="1:22">
      <c r="A13" s="2">
        <v>11</v>
      </c>
      <c r="B13" s="1"/>
      <c r="C13" s="1">
        <f t="shared" si="0"/>
        <v>0</v>
      </c>
      <c r="D13" s="1"/>
      <c r="E13" s="1">
        <f t="shared" si="1"/>
        <v>0</v>
      </c>
      <c r="F13" s="1"/>
      <c r="G13" s="1">
        <f t="shared" si="2"/>
        <v>0</v>
      </c>
      <c r="H13" s="1"/>
      <c r="I13" s="1">
        <f t="shared" si="3"/>
        <v>0</v>
      </c>
      <c r="J13" s="1"/>
      <c r="K13" s="1">
        <f t="shared" si="4"/>
        <v>0</v>
      </c>
      <c r="L13" s="1"/>
      <c r="M13" s="1">
        <f t="shared" si="5"/>
        <v>0</v>
      </c>
      <c r="N13" s="1"/>
      <c r="O13" s="1">
        <f t="shared" si="6"/>
        <v>0</v>
      </c>
      <c r="P13" s="1">
        <v>86.24</v>
      </c>
      <c r="Q13" s="1">
        <f t="shared" si="7"/>
        <v>0</v>
      </c>
      <c r="R13" s="1">
        <v>80.819999999999993</v>
      </c>
      <c r="S13" s="1">
        <f t="shared" si="8"/>
        <v>0</v>
      </c>
    </row>
    <row r="14" spans="1:22">
      <c r="A14" s="2">
        <v>12</v>
      </c>
      <c r="B14" s="1"/>
      <c r="C14" s="1">
        <f t="shared" si="0"/>
        <v>0</v>
      </c>
      <c r="D14" s="1"/>
      <c r="E14" s="1">
        <f t="shared" si="1"/>
        <v>0</v>
      </c>
      <c r="F14" s="1"/>
      <c r="G14" s="1">
        <f t="shared" si="2"/>
        <v>0</v>
      </c>
      <c r="H14" s="1"/>
      <c r="I14" s="1">
        <f t="shared" si="3"/>
        <v>0</v>
      </c>
      <c r="J14" s="1"/>
      <c r="K14" s="1">
        <f t="shared" si="4"/>
        <v>0</v>
      </c>
      <c r="L14" s="1"/>
      <c r="M14" s="1">
        <f t="shared" si="5"/>
        <v>0</v>
      </c>
      <c r="N14" s="1"/>
      <c r="O14" s="1">
        <f t="shared" si="6"/>
        <v>0</v>
      </c>
      <c r="P14" s="1"/>
      <c r="Q14" s="1">
        <f t="shared" si="7"/>
        <v>0</v>
      </c>
      <c r="R14" s="1">
        <v>88.07</v>
      </c>
      <c r="S14" s="1">
        <f t="shared" si="8"/>
        <v>0</v>
      </c>
    </row>
    <row r="15" spans="1:22">
      <c r="A15" s="1"/>
      <c r="B15" s="1"/>
      <c r="C15" s="1">
        <f>SUM(C2:C14)</f>
        <v>0</v>
      </c>
      <c r="D15" s="1"/>
      <c r="E15" s="1">
        <f>SUM(E2:E14)</f>
        <v>0</v>
      </c>
      <c r="F15" s="1"/>
      <c r="G15" s="1">
        <f>SUM(G2:G14)</f>
        <v>0</v>
      </c>
      <c r="H15" s="1"/>
      <c r="I15" s="1">
        <f>SUM(I2:I14)</f>
        <v>0</v>
      </c>
      <c r="J15" s="1"/>
      <c r="K15" s="1">
        <f>SUM(K2:K14)</f>
        <v>0</v>
      </c>
      <c r="L15" s="1"/>
      <c r="M15" s="1">
        <f>SUM(M2:M14)</f>
        <v>0</v>
      </c>
      <c r="N15" s="1"/>
      <c r="O15" s="1">
        <f>SUM(O2:O14)</f>
        <v>0</v>
      </c>
      <c r="P15" s="1"/>
      <c r="Q15" s="1">
        <f>SUM(Q2:Q14)</f>
        <v>0</v>
      </c>
      <c r="R15" s="1"/>
      <c r="S15" s="1">
        <f>SUM(S2:S14)</f>
        <v>0</v>
      </c>
    </row>
    <row r="16" spans="1:22">
      <c r="A16" s="1"/>
      <c r="B16" s="2">
        <v>14</v>
      </c>
      <c r="C16" s="2"/>
      <c r="D16" s="2">
        <v>15</v>
      </c>
      <c r="E16" s="2"/>
      <c r="F16" s="2">
        <v>16</v>
      </c>
      <c r="G16" s="2"/>
      <c r="H16" s="2">
        <v>17</v>
      </c>
      <c r="I16" s="2"/>
      <c r="J16" s="2">
        <v>18</v>
      </c>
      <c r="K16" s="2"/>
      <c r="L16" s="2">
        <v>19</v>
      </c>
      <c r="M16" s="2"/>
      <c r="N16" s="2">
        <v>20</v>
      </c>
      <c r="O16" s="2"/>
      <c r="P16" s="2">
        <v>21</v>
      </c>
      <c r="Q16" s="2"/>
      <c r="R16" s="2">
        <v>22</v>
      </c>
      <c r="S16" s="1"/>
    </row>
    <row r="17" spans="1:19">
      <c r="A17" s="2">
        <v>2</v>
      </c>
      <c r="B17" s="1">
        <v>39.340000000000003</v>
      </c>
      <c r="C17" s="1">
        <f t="shared" ref="C17:C28" si="9">IF(term=term14,IF(pppaid=A17,B17,0),0)</f>
        <v>0</v>
      </c>
      <c r="D17" s="1">
        <v>37.270000000000003</v>
      </c>
      <c r="E17" s="1">
        <f t="shared" ref="E17:E29" si="10">IF(term=term15,IF(pppaid=A17,D17,0),0)</f>
        <v>0</v>
      </c>
      <c r="F17" s="1">
        <v>34.619999999999997</v>
      </c>
      <c r="G17" s="1">
        <f t="shared" ref="G17:G30" si="11">IF(term=term16,IF(pppaid=A17,F17,0),0)</f>
        <v>0</v>
      </c>
      <c r="H17" s="1">
        <v>32.17</v>
      </c>
      <c r="I17" s="1">
        <f t="shared" ref="I17:I31" si="12">IF(term=term17,IF(pppaid=A17,H17,0),0)</f>
        <v>0</v>
      </c>
      <c r="J17" s="1">
        <v>29.92</v>
      </c>
      <c r="K17" s="1">
        <f t="shared" ref="K17:K32" si="13">IF(term=term18,IF(pppaid=A17,J17,0),0)</f>
        <v>0</v>
      </c>
      <c r="L17" s="1">
        <v>27.84</v>
      </c>
      <c r="M17" s="1">
        <f t="shared" ref="M17:M33" si="14">IF(term=term19,IF(pppaid=A17,L17,0),0)</f>
        <v>0</v>
      </c>
      <c r="N17" s="1">
        <v>25.93</v>
      </c>
      <c r="O17" s="1">
        <f t="shared" ref="O17:O35" si="15">IF(term=term20,IF(pppaid=A17,N17,0),0)</f>
        <v>0</v>
      </c>
      <c r="P17" s="1">
        <v>24.17</v>
      </c>
      <c r="Q17" s="1">
        <f t="shared" ref="Q17:Q36" si="16">IF(term=term21,IF(pppaid=A17,P17,0),0)</f>
        <v>0</v>
      </c>
      <c r="R17" s="1">
        <v>22.55</v>
      </c>
      <c r="S17" s="1">
        <f t="shared" ref="S17:S36" si="17">IF(term=term22,IF(pppaid=A17,R17,0),0)</f>
        <v>0</v>
      </c>
    </row>
    <row r="18" spans="1:19">
      <c r="A18" s="2">
        <v>3</v>
      </c>
      <c r="B18" s="1">
        <v>42.42</v>
      </c>
      <c r="C18" s="1">
        <f t="shared" si="9"/>
        <v>0</v>
      </c>
      <c r="D18" s="1">
        <v>40.18</v>
      </c>
      <c r="E18" s="1">
        <f t="shared" si="10"/>
        <v>0</v>
      </c>
      <c r="F18" s="1">
        <v>37.31</v>
      </c>
      <c r="G18" s="1">
        <f t="shared" si="11"/>
        <v>0</v>
      </c>
      <c r="H18" s="1">
        <v>34.659999999999997</v>
      </c>
      <c r="I18" s="1">
        <f t="shared" si="12"/>
        <v>0</v>
      </c>
      <c r="J18" s="1">
        <v>32.229999999999997</v>
      </c>
      <c r="K18" s="1">
        <f t="shared" si="13"/>
        <v>0</v>
      </c>
      <c r="L18" s="1">
        <v>29.98</v>
      </c>
      <c r="M18" s="1">
        <f t="shared" si="14"/>
        <v>0</v>
      </c>
      <c r="N18" s="1">
        <v>27.91</v>
      </c>
      <c r="O18" s="1">
        <f t="shared" si="15"/>
        <v>0</v>
      </c>
      <c r="P18" s="1">
        <v>26.01</v>
      </c>
      <c r="Q18" s="1">
        <f t="shared" si="16"/>
        <v>0</v>
      </c>
      <c r="R18" s="1">
        <v>24.26</v>
      </c>
      <c r="S18" s="1">
        <f t="shared" si="17"/>
        <v>0</v>
      </c>
    </row>
    <row r="19" spans="1:19">
      <c r="A19" s="2">
        <v>4</v>
      </c>
      <c r="B19" s="1">
        <v>45.74</v>
      </c>
      <c r="C19" s="1">
        <f t="shared" si="9"/>
        <v>0</v>
      </c>
      <c r="D19" s="1">
        <v>43.32</v>
      </c>
      <c r="E19" s="1">
        <f t="shared" si="10"/>
        <v>0</v>
      </c>
      <c r="F19" s="1">
        <v>40.22</v>
      </c>
      <c r="G19" s="1">
        <f t="shared" si="11"/>
        <v>0</v>
      </c>
      <c r="H19" s="1">
        <v>37.36</v>
      </c>
      <c r="I19" s="1">
        <f t="shared" si="12"/>
        <v>0</v>
      </c>
      <c r="J19" s="1">
        <v>34.72</v>
      </c>
      <c r="K19" s="1">
        <f t="shared" si="13"/>
        <v>0</v>
      </c>
      <c r="L19" s="1">
        <v>32.29</v>
      </c>
      <c r="M19" s="1">
        <f t="shared" si="14"/>
        <v>0</v>
      </c>
      <c r="N19" s="1">
        <v>30.06</v>
      </c>
      <c r="O19" s="1">
        <f t="shared" si="15"/>
        <v>30.06</v>
      </c>
      <c r="P19" s="1">
        <v>28</v>
      </c>
      <c r="Q19" s="1">
        <f t="shared" si="16"/>
        <v>0</v>
      </c>
      <c r="R19" s="1">
        <v>26.11</v>
      </c>
      <c r="S19" s="1">
        <f t="shared" si="17"/>
        <v>0</v>
      </c>
    </row>
    <row r="20" spans="1:19">
      <c r="A20" s="2">
        <v>5</v>
      </c>
      <c r="B20" s="1">
        <v>48.56</v>
      </c>
      <c r="C20" s="1">
        <f t="shared" si="9"/>
        <v>0</v>
      </c>
      <c r="D20" s="1">
        <v>46.71</v>
      </c>
      <c r="E20" s="1">
        <f t="shared" si="10"/>
        <v>0</v>
      </c>
      <c r="F20" s="1">
        <v>43.35</v>
      </c>
      <c r="G20" s="1">
        <f t="shared" si="11"/>
        <v>0</v>
      </c>
      <c r="H20" s="1">
        <v>40.26</v>
      </c>
      <c r="I20" s="1">
        <f t="shared" si="12"/>
        <v>0</v>
      </c>
      <c r="J20" s="1">
        <v>37.409999999999997</v>
      </c>
      <c r="K20" s="1">
        <f t="shared" si="13"/>
        <v>0</v>
      </c>
      <c r="L20" s="1">
        <v>34.78</v>
      </c>
      <c r="M20" s="1">
        <f t="shared" si="14"/>
        <v>0</v>
      </c>
      <c r="N20" s="1">
        <v>32.369999999999997</v>
      </c>
      <c r="O20" s="1">
        <f t="shared" si="15"/>
        <v>0</v>
      </c>
      <c r="P20" s="1">
        <v>30.14</v>
      </c>
      <c r="Q20" s="1">
        <f t="shared" si="16"/>
        <v>0</v>
      </c>
      <c r="R20" s="1">
        <v>28.1</v>
      </c>
      <c r="S20" s="1">
        <f t="shared" si="17"/>
        <v>0</v>
      </c>
    </row>
    <row r="21" spans="1:19">
      <c r="A21" s="2">
        <v>6</v>
      </c>
      <c r="B21" s="1">
        <v>51.72</v>
      </c>
      <c r="C21" s="1">
        <f t="shared" si="9"/>
        <v>0</v>
      </c>
      <c r="D21" s="1">
        <v>49.58</v>
      </c>
      <c r="E21" s="1">
        <f t="shared" si="10"/>
        <v>0</v>
      </c>
      <c r="F21" s="1">
        <v>46.74</v>
      </c>
      <c r="G21" s="1">
        <f t="shared" si="11"/>
        <v>0</v>
      </c>
      <c r="H21" s="1">
        <v>43.4</v>
      </c>
      <c r="I21" s="1">
        <f t="shared" si="12"/>
        <v>0</v>
      </c>
      <c r="J21" s="1">
        <v>40.31</v>
      </c>
      <c r="K21" s="1">
        <f t="shared" si="13"/>
        <v>0</v>
      </c>
      <c r="L21" s="1">
        <v>37.47</v>
      </c>
      <c r="M21" s="1">
        <f t="shared" si="14"/>
        <v>0</v>
      </c>
      <c r="N21" s="1">
        <v>34.86</v>
      </c>
      <c r="O21" s="1">
        <f t="shared" si="15"/>
        <v>0</v>
      </c>
      <c r="P21" s="1">
        <v>32.450000000000003</v>
      </c>
      <c r="Q21" s="1">
        <f t="shared" si="16"/>
        <v>0</v>
      </c>
      <c r="R21" s="1">
        <v>30.24</v>
      </c>
      <c r="S21" s="1">
        <f t="shared" si="17"/>
        <v>0</v>
      </c>
    </row>
    <row r="22" spans="1:19">
      <c r="A22" s="2">
        <v>7</v>
      </c>
      <c r="B22" s="1">
        <v>55.27</v>
      </c>
      <c r="C22" s="1">
        <f t="shared" si="9"/>
        <v>0</v>
      </c>
      <c r="D22" s="1">
        <v>52.79</v>
      </c>
      <c r="E22" s="1">
        <f t="shared" si="10"/>
        <v>0</v>
      </c>
      <c r="F22" s="1">
        <v>49.61</v>
      </c>
      <c r="G22" s="1">
        <f t="shared" si="11"/>
        <v>0</v>
      </c>
      <c r="H22" s="1">
        <v>46.78</v>
      </c>
      <c r="I22" s="1">
        <f t="shared" si="12"/>
        <v>0</v>
      </c>
      <c r="J22" s="1">
        <v>43.45</v>
      </c>
      <c r="K22" s="1">
        <f t="shared" si="13"/>
        <v>0</v>
      </c>
      <c r="L22" s="1">
        <v>40.369999999999997</v>
      </c>
      <c r="M22" s="1">
        <f t="shared" si="14"/>
        <v>0</v>
      </c>
      <c r="N22" s="1">
        <v>37.54</v>
      </c>
      <c r="O22" s="1">
        <f t="shared" si="15"/>
        <v>0</v>
      </c>
      <c r="P22" s="1">
        <v>34.94</v>
      </c>
      <c r="Q22" s="1">
        <f t="shared" si="16"/>
        <v>0</v>
      </c>
      <c r="R22" s="1">
        <v>32.549999999999997</v>
      </c>
      <c r="S22" s="1">
        <f t="shared" si="17"/>
        <v>0</v>
      </c>
    </row>
    <row r="23" spans="1:19">
      <c r="A23" s="2">
        <v>8</v>
      </c>
      <c r="B23" s="1">
        <v>59.29</v>
      </c>
      <c r="C23" s="1">
        <f t="shared" si="9"/>
        <v>0</v>
      </c>
      <c r="D23" s="1">
        <v>56.42</v>
      </c>
      <c r="E23" s="1">
        <f t="shared" si="10"/>
        <v>0</v>
      </c>
      <c r="F23" s="1">
        <v>52.82</v>
      </c>
      <c r="G23" s="1">
        <f t="shared" si="11"/>
        <v>0</v>
      </c>
      <c r="H23" s="1">
        <v>49.64</v>
      </c>
      <c r="I23" s="1">
        <f t="shared" si="12"/>
        <v>0</v>
      </c>
      <c r="J23" s="1">
        <v>46.83</v>
      </c>
      <c r="K23" s="1">
        <f t="shared" si="13"/>
        <v>0</v>
      </c>
      <c r="L23" s="1">
        <v>43.5</v>
      </c>
      <c r="M23" s="1">
        <f t="shared" si="14"/>
        <v>0</v>
      </c>
      <c r="N23" s="1">
        <v>40.44</v>
      </c>
      <c r="O23" s="1">
        <f t="shared" si="15"/>
        <v>0</v>
      </c>
      <c r="P23" s="1">
        <v>37.619999999999997</v>
      </c>
      <c r="Q23" s="1">
        <f t="shared" si="16"/>
        <v>0</v>
      </c>
      <c r="R23" s="1">
        <v>35.03</v>
      </c>
      <c r="S23" s="1">
        <f t="shared" si="17"/>
        <v>0</v>
      </c>
    </row>
    <row r="24" spans="1:19">
      <c r="A24" s="2">
        <v>9</v>
      </c>
      <c r="B24" s="1">
        <v>63.83</v>
      </c>
      <c r="C24" s="1">
        <f t="shared" si="9"/>
        <v>0</v>
      </c>
      <c r="D24" s="1">
        <v>60.51</v>
      </c>
      <c r="E24" s="1">
        <f t="shared" si="10"/>
        <v>0</v>
      </c>
      <c r="F24" s="1">
        <v>56.44</v>
      </c>
      <c r="G24" s="1">
        <f t="shared" si="11"/>
        <v>0</v>
      </c>
      <c r="H24" s="1">
        <v>52.86</v>
      </c>
      <c r="I24" s="1">
        <f t="shared" si="12"/>
        <v>0</v>
      </c>
      <c r="J24" s="1">
        <v>49.69</v>
      </c>
      <c r="K24" s="1">
        <f t="shared" si="13"/>
        <v>0</v>
      </c>
      <c r="L24" s="1">
        <v>46.88</v>
      </c>
      <c r="M24" s="1">
        <f t="shared" si="14"/>
        <v>0</v>
      </c>
      <c r="N24" s="1">
        <v>43.57</v>
      </c>
      <c r="O24" s="1">
        <f t="shared" si="15"/>
        <v>0</v>
      </c>
      <c r="P24" s="1">
        <v>40.520000000000003</v>
      </c>
      <c r="Q24" s="1">
        <f t="shared" si="16"/>
        <v>0</v>
      </c>
      <c r="R24" s="1">
        <v>37.72</v>
      </c>
      <c r="S24" s="1">
        <f t="shared" si="17"/>
        <v>0</v>
      </c>
    </row>
    <row r="25" spans="1:19">
      <c r="A25" s="2">
        <v>10</v>
      </c>
      <c r="B25" s="1">
        <v>69.52</v>
      </c>
      <c r="C25" s="1">
        <f t="shared" si="9"/>
        <v>0</v>
      </c>
      <c r="D25" s="1">
        <v>65.150000000000006</v>
      </c>
      <c r="E25" s="1">
        <f t="shared" si="10"/>
        <v>0</v>
      </c>
      <c r="F25" s="1">
        <v>60.53</v>
      </c>
      <c r="G25" s="1">
        <f t="shared" si="11"/>
        <v>0</v>
      </c>
      <c r="H25" s="1">
        <v>56.47</v>
      </c>
      <c r="I25" s="1">
        <f t="shared" si="12"/>
        <v>0</v>
      </c>
      <c r="J25" s="1">
        <v>52.9</v>
      </c>
      <c r="K25" s="1">
        <f t="shared" si="13"/>
        <v>0</v>
      </c>
      <c r="L25" s="1">
        <v>49.74</v>
      </c>
      <c r="M25" s="1">
        <f t="shared" si="14"/>
        <v>0</v>
      </c>
      <c r="N25" s="1">
        <v>46.94</v>
      </c>
      <c r="O25" s="1">
        <f t="shared" si="15"/>
        <v>0</v>
      </c>
      <c r="P25" s="1">
        <v>43.64</v>
      </c>
      <c r="Q25" s="1">
        <f t="shared" si="16"/>
        <v>0</v>
      </c>
      <c r="R25" s="1">
        <v>40.61</v>
      </c>
      <c r="S25" s="1">
        <f t="shared" si="17"/>
        <v>0</v>
      </c>
    </row>
    <row r="26" spans="1:19">
      <c r="A26" s="2">
        <v>11</v>
      </c>
      <c r="B26" s="1">
        <v>75.73</v>
      </c>
      <c r="C26" s="1">
        <f t="shared" si="9"/>
        <v>0</v>
      </c>
      <c r="D26" s="1">
        <v>70.95</v>
      </c>
      <c r="E26" s="1">
        <f t="shared" si="10"/>
        <v>0</v>
      </c>
      <c r="F26" s="1">
        <v>65.17</v>
      </c>
      <c r="G26" s="1">
        <f t="shared" si="11"/>
        <v>0</v>
      </c>
      <c r="H26" s="1">
        <v>60.56</v>
      </c>
      <c r="I26" s="1">
        <f t="shared" si="12"/>
        <v>0</v>
      </c>
      <c r="J26" s="1">
        <v>56.51</v>
      </c>
      <c r="K26" s="1">
        <f t="shared" si="13"/>
        <v>0</v>
      </c>
      <c r="L26" s="1">
        <v>52.94</v>
      </c>
      <c r="M26" s="1">
        <f t="shared" si="14"/>
        <v>0</v>
      </c>
      <c r="N26" s="1">
        <v>49.8</v>
      </c>
      <c r="O26" s="1">
        <f t="shared" si="15"/>
        <v>0</v>
      </c>
      <c r="P26" s="1">
        <v>47.02</v>
      </c>
      <c r="Q26" s="1">
        <f t="shared" si="16"/>
        <v>0</v>
      </c>
      <c r="R26" s="1">
        <v>43.74</v>
      </c>
      <c r="S26" s="1">
        <f t="shared" si="17"/>
        <v>0</v>
      </c>
    </row>
    <row r="27" spans="1:19">
      <c r="A27" s="2">
        <v>12</v>
      </c>
      <c r="B27" s="1">
        <v>82.5</v>
      </c>
      <c r="C27" s="1">
        <f t="shared" si="9"/>
        <v>0</v>
      </c>
      <c r="D27" s="1">
        <v>77.28</v>
      </c>
      <c r="E27" s="1">
        <f t="shared" si="10"/>
        <v>0</v>
      </c>
      <c r="F27" s="1">
        <v>70.959999999999994</v>
      </c>
      <c r="G27" s="1">
        <f t="shared" si="11"/>
        <v>0</v>
      </c>
      <c r="H27" s="1">
        <v>65.19</v>
      </c>
      <c r="I27" s="1">
        <f t="shared" si="12"/>
        <v>0</v>
      </c>
      <c r="J27" s="1">
        <v>60.59</v>
      </c>
      <c r="K27" s="1">
        <f t="shared" si="13"/>
        <v>0</v>
      </c>
      <c r="L27" s="1">
        <v>56.55</v>
      </c>
      <c r="M27" s="1">
        <f t="shared" si="14"/>
        <v>0</v>
      </c>
      <c r="N27" s="1">
        <v>53</v>
      </c>
      <c r="O27" s="1">
        <f t="shared" si="15"/>
        <v>0</v>
      </c>
      <c r="P27" s="1">
        <v>49.87</v>
      </c>
      <c r="Q27" s="1">
        <f t="shared" si="16"/>
        <v>0</v>
      </c>
      <c r="R27" s="1">
        <v>47.1</v>
      </c>
      <c r="S27" s="1">
        <f t="shared" si="17"/>
        <v>0</v>
      </c>
    </row>
    <row r="28" spans="1:19">
      <c r="A28" s="2">
        <v>13</v>
      </c>
      <c r="B28" s="1">
        <v>89.91</v>
      </c>
      <c r="C28" s="1">
        <f t="shared" si="9"/>
        <v>0</v>
      </c>
      <c r="D28" s="1">
        <v>84.19</v>
      </c>
      <c r="E28" s="1">
        <f t="shared" si="10"/>
        <v>0</v>
      </c>
      <c r="F28" s="1">
        <v>77.290000000000006</v>
      </c>
      <c r="G28" s="1">
        <f t="shared" si="11"/>
        <v>0</v>
      </c>
      <c r="H28" s="1">
        <v>70.98</v>
      </c>
      <c r="I28" s="1">
        <f t="shared" si="12"/>
        <v>0</v>
      </c>
      <c r="J28" s="1">
        <v>65.22</v>
      </c>
      <c r="K28" s="1">
        <f t="shared" si="13"/>
        <v>0</v>
      </c>
      <c r="L28" s="1">
        <v>60.63</v>
      </c>
      <c r="M28" s="1">
        <f t="shared" si="14"/>
        <v>0</v>
      </c>
      <c r="N28" s="1">
        <v>56.6</v>
      </c>
      <c r="O28" s="1">
        <f t="shared" si="15"/>
        <v>0</v>
      </c>
      <c r="P28" s="1">
        <v>53.07</v>
      </c>
      <c r="Q28" s="1">
        <f t="shared" si="16"/>
        <v>0</v>
      </c>
      <c r="R28" s="1">
        <v>19.95</v>
      </c>
      <c r="S28" s="1">
        <f t="shared" si="17"/>
        <v>0</v>
      </c>
    </row>
    <row r="29" spans="1:19">
      <c r="A29" s="2">
        <v>14</v>
      </c>
      <c r="B29" s="1"/>
      <c r="C29" s="1"/>
      <c r="D29" s="1">
        <v>91.74</v>
      </c>
      <c r="E29" s="1">
        <f t="shared" si="10"/>
        <v>0</v>
      </c>
      <c r="F29" s="1">
        <v>84.19</v>
      </c>
      <c r="G29" s="1">
        <f t="shared" si="11"/>
        <v>0</v>
      </c>
      <c r="H29" s="1">
        <v>77.3</v>
      </c>
      <c r="I29" s="1">
        <f t="shared" si="12"/>
        <v>0</v>
      </c>
      <c r="J29" s="1">
        <v>71</v>
      </c>
      <c r="K29" s="1">
        <f t="shared" si="13"/>
        <v>0</v>
      </c>
      <c r="L29" s="1">
        <v>65.239999999999995</v>
      </c>
      <c r="M29" s="1">
        <f t="shared" si="14"/>
        <v>0</v>
      </c>
      <c r="N29" s="1">
        <v>60.67</v>
      </c>
      <c r="O29" s="1">
        <f t="shared" si="15"/>
        <v>0</v>
      </c>
      <c r="P29" s="1">
        <v>56.66</v>
      </c>
      <c r="Q29" s="1">
        <f t="shared" si="16"/>
        <v>0</v>
      </c>
      <c r="R29" s="1">
        <v>53.14</v>
      </c>
      <c r="S29" s="1">
        <f t="shared" si="17"/>
        <v>0</v>
      </c>
    </row>
    <row r="30" spans="1:19">
      <c r="A30" s="2">
        <v>15</v>
      </c>
      <c r="B30" s="1"/>
      <c r="C30" s="1"/>
      <c r="D30" s="1"/>
      <c r="E30" s="1"/>
      <c r="F30" s="1">
        <v>91.74</v>
      </c>
      <c r="G30" s="1">
        <f t="shared" si="11"/>
        <v>0</v>
      </c>
      <c r="H30" s="1">
        <v>84.2</v>
      </c>
      <c r="I30" s="1">
        <f t="shared" si="12"/>
        <v>0</v>
      </c>
      <c r="J30" s="1">
        <v>77.331000000000003</v>
      </c>
      <c r="K30" s="1">
        <f t="shared" si="13"/>
        <v>0</v>
      </c>
      <c r="L30" s="1">
        <v>71.02</v>
      </c>
      <c r="M30" s="1">
        <f t="shared" si="14"/>
        <v>0</v>
      </c>
      <c r="N30" s="1">
        <v>65.28</v>
      </c>
      <c r="O30" s="1">
        <f t="shared" si="15"/>
        <v>0</v>
      </c>
      <c r="P30" s="1">
        <v>60.72</v>
      </c>
      <c r="Q30" s="1">
        <f t="shared" si="16"/>
        <v>0</v>
      </c>
      <c r="R30" s="1">
        <v>56.72</v>
      </c>
      <c r="S30" s="1">
        <f t="shared" si="17"/>
        <v>0</v>
      </c>
    </row>
    <row r="31" spans="1:19">
      <c r="A31" s="2">
        <v>16</v>
      </c>
      <c r="B31" s="1"/>
      <c r="C31" s="1"/>
      <c r="D31" s="1"/>
      <c r="E31" s="1"/>
      <c r="F31" s="1"/>
      <c r="G31" s="1"/>
      <c r="H31" s="1">
        <v>91.74</v>
      </c>
      <c r="I31" s="1">
        <f t="shared" si="12"/>
        <v>0</v>
      </c>
      <c r="J31" s="1">
        <v>84.2</v>
      </c>
      <c r="K31" s="1">
        <f t="shared" si="13"/>
        <v>0</v>
      </c>
      <c r="L31" s="1">
        <v>77.33</v>
      </c>
      <c r="M31" s="1">
        <f t="shared" si="14"/>
        <v>0</v>
      </c>
      <c r="N31" s="1">
        <v>71.040000000000006</v>
      </c>
      <c r="O31" s="1">
        <f t="shared" si="15"/>
        <v>0</v>
      </c>
      <c r="P31" s="1">
        <v>65.31</v>
      </c>
      <c r="Q31" s="1">
        <f t="shared" si="16"/>
        <v>0</v>
      </c>
      <c r="R31" s="1">
        <v>60.777000000000001</v>
      </c>
      <c r="S31" s="1">
        <f t="shared" si="17"/>
        <v>0</v>
      </c>
    </row>
    <row r="32" spans="1:19">
      <c r="A32" s="2">
        <v>17</v>
      </c>
      <c r="B32" s="1"/>
      <c r="C32" s="1"/>
      <c r="D32" s="1"/>
      <c r="E32" s="1"/>
      <c r="F32" s="1"/>
      <c r="G32" s="1"/>
      <c r="H32" s="1"/>
      <c r="I32" s="1"/>
      <c r="J32" s="1">
        <v>91.74</v>
      </c>
      <c r="K32" s="1">
        <f t="shared" si="13"/>
        <v>0</v>
      </c>
      <c r="L32" s="1">
        <v>84.22</v>
      </c>
      <c r="M32" s="1">
        <f t="shared" si="14"/>
        <v>0</v>
      </c>
      <c r="N32" s="1">
        <v>77.33</v>
      </c>
      <c r="O32" s="1">
        <f t="shared" si="15"/>
        <v>0</v>
      </c>
      <c r="P32" s="1">
        <v>71.06</v>
      </c>
      <c r="Q32" s="1">
        <f t="shared" si="16"/>
        <v>0</v>
      </c>
      <c r="R32" s="1">
        <v>65.349999999999994</v>
      </c>
      <c r="S32" s="1">
        <f t="shared" si="17"/>
        <v>0</v>
      </c>
    </row>
    <row r="33" spans="1:19">
      <c r="A33" s="2">
        <v>18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>
        <v>91.74</v>
      </c>
      <c r="M33" s="1">
        <f t="shared" si="14"/>
        <v>0</v>
      </c>
      <c r="N33" s="1">
        <v>84.22</v>
      </c>
      <c r="O33" s="1">
        <f t="shared" si="15"/>
        <v>0</v>
      </c>
      <c r="P33" s="1">
        <v>77.34</v>
      </c>
      <c r="Q33" s="1">
        <f t="shared" si="16"/>
        <v>0</v>
      </c>
      <c r="R33" s="1">
        <v>71.09</v>
      </c>
      <c r="S33" s="1">
        <f t="shared" si="17"/>
        <v>0</v>
      </c>
    </row>
    <row r="34" spans="1:19">
      <c r="A34" s="2">
        <v>19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>
        <v>91.74</v>
      </c>
      <c r="O34" s="1">
        <f t="shared" si="15"/>
        <v>0</v>
      </c>
      <c r="P34" s="1">
        <v>84.22</v>
      </c>
      <c r="Q34" s="1">
        <f t="shared" si="16"/>
        <v>0</v>
      </c>
      <c r="R34" s="1">
        <v>77.36</v>
      </c>
      <c r="S34" s="1">
        <f t="shared" si="17"/>
        <v>0</v>
      </c>
    </row>
    <row r="35" spans="1:19">
      <c r="A35" s="2">
        <v>20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f t="shared" si="15"/>
        <v>0</v>
      </c>
      <c r="P35" s="1">
        <v>91.74</v>
      </c>
      <c r="Q35" s="1">
        <f t="shared" si="16"/>
        <v>0</v>
      </c>
      <c r="R35" s="1">
        <v>84.22</v>
      </c>
      <c r="S35" s="1">
        <f t="shared" si="17"/>
        <v>0</v>
      </c>
    </row>
    <row r="36" spans="1:19">
      <c r="A36" s="2">
        <v>21</v>
      </c>
      <c r="B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>
        <f t="shared" si="16"/>
        <v>0</v>
      </c>
      <c r="R36" s="1">
        <v>91.74</v>
      </c>
      <c r="S36" s="1">
        <f t="shared" si="17"/>
        <v>0</v>
      </c>
    </row>
    <row r="37" spans="1:19">
      <c r="A37" s="2"/>
      <c r="B37" s="1"/>
      <c r="C37" s="1">
        <f>SUM(C17:C36)</f>
        <v>0</v>
      </c>
      <c r="D37" s="1"/>
      <c r="E37" s="1">
        <f>SUM(E17:E36)</f>
        <v>0</v>
      </c>
      <c r="F37" s="1"/>
      <c r="G37" s="1">
        <f>SUM(G17:G36)</f>
        <v>0</v>
      </c>
      <c r="H37" s="1"/>
      <c r="I37" s="1">
        <f>SUM(I17:I36)</f>
        <v>0</v>
      </c>
      <c r="J37" s="1"/>
      <c r="K37" s="1">
        <f>SUM(K17:K36)</f>
        <v>0</v>
      </c>
      <c r="L37" s="1"/>
      <c r="M37" s="1">
        <f>SUM(M17:M36)</f>
        <v>0</v>
      </c>
      <c r="N37" s="1"/>
      <c r="O37" s="1">
        <f>SUM(O17:O36)</f>
        <v>30.06</v>
      </c>
      <c r="P37" s="1"/>
      <c r="Q37" s="1">
        <f>SUM(Q17:Q36)</f>
        <v>0</v>
      </c>
      <c r="R37" s="1"/>
      <c r="S37" s="1">
        <f>SUM(S17:S36)</f>
        <v>0</v>
      </c>
    </row>
    <row r="38" spans="1:19">
      <c r="A38" s="1"/>
      <c r="B38" s="2">
        <v>23</v>
      </c>
      <c r="C38" s="2"/>
      <c r="D38" s="2">
        <v>24</v>
      </c>
      <c r="E38" s="2"/>
      <c r="F38" s="2">
        <v>25</v>
      </c>
      <c r="G38" s="2"/>
      <c r="H38" s="2">
        <v>26</v>
      </c>
      <c r="I38" s="2"/>
      <c r="J38" s="2">
        <v>27</v>
      </c>
      <c r="K38" s="2"/>
      <c r="L38" s="2">
        <v>28</v>
      </c>
      <c r="M38" s="2"/>
      <c r="N38" s="2">
        <v>29</v>
      </c>
      <c r="O38" s="2"/>
      <c r="P38" s="2">
        <v>30</v>
      </c>
      <c r="Q38" s="2"/>
      <c r="R38" s="1"/>
      <c r="S38" s="1"/>
    </row>
    <row r="39" spans="1:19">
      <c r="A39" s="2">
        <v>3</v>
      </c>
      <c r="B39" s="1">
        <v>22.66</v>
      </c>
      <c r="C39" s="1">
        <f t="shared" ref="C39:C58" si="18">IF(term=term23,IF(pppaid=A39,B39,0),0)</f>
        <v>0</v>
      </c>
      <c r="D39" s="1">
        <v>21.18</v>
      </c>
      <c r="E39" s="1">
        <f t="shared" ref="E39:E59" si="19">IF(term=term24,IF(pppaid=A39,D39,0),0)</f>
        <v>0</v>
      </c>
      <c r="F39" s="1">
        <v>19.829999999999998</v>
      </c>
      <c r="G39" s="1">
        <f t="shared" ref="G39:G60" si="20">IF(term=term25,IF(pppaid=A39,F39,0),0)</f>
        <v>0</v>
      </c>
      <c r="H39" s="1">
        <v>18.59</v>
      </c>
      <c r="I39" s="1">
        <f t="shared" ref="I39:I61" si="21">IF(term=term26,IF(pppaid=A39,H39,0),0)</f>
        <v>0</v>
      </c>
      <c r="J39" s="1">
        <v>17.46</v>
      </c>
      <c r="K39" s="1">
        <f t="shared" ref="K39:K62" si="22">IF(term=term27,IF(pppaid=A39,J39,0),0)</f>
        <v>0</v>
      </c>
      <c r="L39" s="1">
        <v>16.420000000000002</v>
      </c>
      <c r="M39" s="1">
        <f t="shared" ref="M39:M63" si="23">IF(term=term28,IF(pppaid=A39,L39,0),0)</f>
        <v>0</v>
      </c>
      <c r="N39" s="1">
        <v>15.48</v>
      </c>
      <c r="O39" s="1">
        <f t="shared" ref="O39:O64" si="24">IF(term=term29,IF(pppaid=A39,N39,0),0)</f>
        <v>0</v>
      </c>
      <c r="P39" s="1">
        <v>14.62</v>
      </c>
      <c r="Q39" s="1">
        <f t="shared" ref="Q39:Q65" si="25">IF(term=term30,IF(pppaid=A39,P39,0),0)</f>
        <v>0</v>
      </c>
      <c r="R39" s="1"/>
      <c r="S39" s="1"/>
    </row>
    <row r="40" spans="1:19">
      <c r="A40" s="2">
        <v>4</v>
      </c>
      <c r="B40" s="1">
        <v>24.37</v>
      </c>
      <c r="C40" s="1">
        <f t="shared" si="18"/>
        <v>0</v>
      </c>
      <c r="D40" s="1">
        <v>22.78</v>
      </c>
      <c r="E40" s="1">
        <f t="shared" si="19"/>
        <v>0</v>
      </c>
      <c r="F40" s="1">
        <v>21.31</v>
      </c>
      <c r="G40" s="1">
        <f t="shared" si="20"/>
        <v>0</v>
      </c>
      <c r="H40" s="1">
        <v>19.97</v>
      </c>
      <c r="I40" s="1">
        <f t="shared" si="21"/>
        <v>0</v>
      </c>
      <c r="J40" s="1">
        <v>18.75</v>
      </c>
      <c r="K40" s="1">
        <f t="shared" si="22"/>
        <v>0</v>
      </c>
      <c r="L40" s="1">
        <v>17.63</v>
      </c>
      <c r="M40" s="1">
        <f t="shared" si="23"/>
        <v>0</v>
      </c>
      <c r="N40" s="1">
        <v>16.61</v>
      </c>
      <c r="O40" s="1">
        <f t="shared" si="24"/>
        <v>0</v>
      </c>
      <c r="P40" s="1">
        <v>15.68</v>
      </c>
      <c r="Q40" s="1">
        <f t="shared" si="25"/>
        <v>0</v>
      </c>
      <c r="R40" s="1"/>
      <c r="S40" s="1"/>
    </row>
    <row r="41" spans="1:19">
      <c r="A41" s="2">
        <v>5</v>
      </c>
      <c r="B41" s="1">
        <v>26.22</v>
      </c>
      <c r="C41" s="1">
        <f t="shared" si="18"/>
        <v>0</v>
      </c>
      <c r="D41" s="1">
        <v>24.49</v>
      </c>
      <c r="E41" s="1">
        <f t="shared" si="19"/>
        <v>0</v>
      </c>
      <c r="F41" s="1">
        <v>22.91</v>
      </c>
      <c r="G41" s="1">
        <f t="shared" si="20"/>
        <v>0</v>
      </c>
      <c r="H41" s="1">
        <v>21.46</v>
      </c>
      <c r="I41" s="1">
        <f t="shared" si="21"/>
        <v>0</v>
      </c>
      <c r="J41" s="1">
        <v>20.14</v>
      </c>
      <c r="K41" s="1">
        <f t="shared" si="22"/>
        <v>0</v>
      </c>
      <c r="L41" s="1">
        <v>18.93</v>
      </c>
      <c r="M41" s="1">
        <f t="shared" si="23"/>
        <v>0</v>
      </c>
      <c r="N41" s="1">
        <v>17.82</v>
      </c>
      <c r="O41" s="1">
        <f t="shared" si="24"/>
        <v>0</v>
      </c>
      <c r="P41" s="1">
        <v>16.82</v>
      </c>
      <c r="Q41" s="1">
        <f t="shared" si="25"/>
        <v>0</v>
      </c>
      <c r="R41" s="1"/>
      <c r="S41" s="1"/>
    </row>
    <row r="42" spans="1:19">
      <c r="A42" s="2">
        <v>6</v>
      </c>
      <c r="B42" s="1">
        <v>28.21</v>
      </c>
      <c r="C42" s="1">
        <f t="shared" si="18"/>
        <v>0</v>
      </c>
      <c r="D42" s="1">
        <v>26.34</v>
      </c>
      <c r="E42" s="1">
        <f t="shared" si="19"/>
        <v>0</v>
      </c>
      <c r="F42" s="1">
        <v>24.63</v>
      </c>
      <c r="G42" s="1">
        <f t="shared" si="20"/>
        <v>0</v>
      </c>
      <c r="H42" s="1">
        <v>23.06</v>
      </c>
      <c r="I42" s="1">
        <f t="shared" si="21"/>
        <v>0</v>
      </c>
      <c r="J42" s="1">
        <v>21.63</v>
      </c>
      <c r="K42" s="1">
        <f t="shared" si="22"/>
        <v>0</v>
      </c>
      <c r="L42" s="1">
        <v>20.32</v>
      </c>
      <c r="M42" s="1">
        <f t="shared" si="23"/>
        <v>0</v>
      </c>
      <c r="N42" s="1">
        <v>19.13</v>
      </c>
      <c r="O42" s="1">
        <f t="shared" si="24"/>
        <v>0</v>
      </c>
      <c r="P42" s="1">
        <v>18.04</v>
      </c>
      <c r="Q42" s="1">
        <f t="shared" si="25"/>
        <v>0</v>
      </c>
      <c r="R42" s="1"/>
      <c r="S42" s="1"/>
    </row>
    <row r="43" spans="1:19">
      <c r="A43" s="2">
        <v>7</v>
      </c>
      <c r="B43" s="1">
        <v>30.35</v>
      </c>
      <c r="C43" s="1">
        <f t="shared" si="18"/>
        <v>0</v>
      </c>
      <c r="D43" s="1">
        <v>28.33</v>
      </c>
      <c r="E43" s="1">
        <f t="shared" si="19"/>
        <v>0</v>
      </c>
      <c r="F43" s="1">
        <v>26.48</v>
      </c>
      <c r="G43" s="1">
        <f t="shared" si="20"/>
        <v>0</v>
      </c>
      <c r="H43" s="1">
        <v>24.78</v>
      </c>
      <c r="I43" s="1">
        <f t="shared" si="21"/>
        <v>0</v>
      </c>
      <c r="J43" s="1">
        <v>23.23</v>
      </c>
      <c r="K43" s="1">
        <f t="shared" si="22"/>
        <v>0</v>
      </c>
      <c r="L43" s="1">
        <v>21.82</v>
      </c>
      <c r="M43" s="1">
        <f t="shared" si="23"/>
        <v>0</v>
      </c>
      <c r="N43" s="1">
        <v>20.53</v>
      </c>
      <c r="O43" s="1">
        <f t="shared" si="24"/>
        <v>0</v>
      </c>
      <c r="P43" s="1">
        <v>19.350000000000001</v>
      </c>
      <c r="Q43" s="1">
        <f t="shared" si="25"/>
        <v>0</v>
      </c>
      <c r="R43" s="1"/>
      <c r="S43" s="1"/>
    </row>
    <row r="44" spans="1:19">
      <c r="A44" s="2">
        <v>8</v>
      </c>
      <c r="B44" s="1">
        <v>32.65</v>
      </c>
      <c r="C44" s="1">
        <f t="shared" si="18"/>
        <v>0</v>
      </c>
      <c r="D44" s="1">
        <v>30.47</v>
      </c>
      <c r="E44" s="1">
        <f t="shared" si="19"/>
        <v>0</v>
      </c>
      <c r="F44" s="1">
        <v>28.47</v>
      </c>
      <c r="G44" s="1">
        <f t="shared" si="20"/>
        <v>0</v>
      </c>
      <c r="H44" s="1">
        <v>26.64</v>
      </c>
      <c r="I44" s="1">
        <f t="shared" si="21"/>
        <v>0</v>
      </c>
      <c r="J44" s="1">
        <v>24.96</v>
      </c>
      <c r="K44" s="1">
        <f t="shared" si="22"/>
        <v>0</v>
      </c>
      <c r="L44" s="1">
        <v>23.43</v>
      </c>
      <c r="M44" s="1">
        <f t="shared" si="23"/>
        <v>0</v>
      </c>
      <c r="N44" s="1">
        <v>22.03</v>
      </c>
      <c r="O44" s="1">
        <f t="shared" si="24"/>
        <v>0</v>
      </c>
      <c r="P44" s="1">
        <v>20.76</v>
      </c>
      <c r="Q44" s="1">
        <f t="shared" si="25"/>
        <v>0</v>
      </c>
      <c r="R44" s="1"/>
      <c r="S44" s="1"/>
    </row>
    <row r="45" spans="1:19">
      <c r="A45" s="2">
        <v>9</v>
      </c>
      <c r="B45" s="1">
        <v>35.14</v>
      </c>
      <c r="C45" s="1">
        <f t="shared" si="18"/>
        <v>0</v>
      </c>
      <c r="D45" s="1">
        <v>32.78</v>
      </c>
      <c r="E45" s="1">
        <f t="shared" si="19"/>
        <v>0</v>
      </c>
      <c r="F45" s="1">
        <v>30.61</v>
      </c>
      <c r="G45" s="1">
        <f t="shared" si="20"/>
        <v>0</v>
      </c>
      <c r="H45" s="1">
        <v>28.63</v>
      </c>
      <c r="I45" s="1">
        <f t="shared" si="21"/>
        <v>0</v>
      </c>
      <c r="J45" s="1">
        <v>26.82</v>
      </c>
      <c r="K45" s="1">
        <f t="shared" si="22"/>
        <v>0</v>
      </c>
      <c r="L45" s="1">
        <v>25.16</v>
      </c>
      <c r="M45" s="1">
        <f t="shared" si="23"/>
        <v>0</v>
      </c>
      <c r="N45" s="1">
        <v>23.65</v>
      </c>
      <c r="O45" s="1">
        <f t="shared" si="24"/>
        <v>0</v>
      </c>
      <c r="P45" s="1">
        <v>22.27</v>
      </c>
      <c r="Q45" s="1">
        <f t="shared" si="25"/>
        <v>0</v>
      </c>
      <c r="R45" s="1"/>
      <c r="S45" s="1"/>
    </row>
    <row r="46" spans="1:19">
      <c r="A46" s="2">
        <v>10</v>
      </c>
      <c r="B46" s="1">
        <v>37.83</v>
      </c>
      <c r="C46" s="1">
        <f t="shared" si="18"/>
        <v>0</v>
      </c>
      <c r="D46" s="1">
        <v>35.270000000000003</v>
      </c>
      <c r="E46" s="1">
        <f t="shared" si="19"/>
        <v>0</v>
      </c>
      <c r="F46" s="1">
        <v>32.92</v>
      </c>
      <c r="G46" s="1">
        <f t="shared" si="20"/>
        <v>0</v>
      </c>
      <c r="H46" s="1">
        <v>30.78</v>
      </c>
      <c r="I46" s="1">
        <f t="shared" si="21"/>
        <v>0</v>
      </c>
      <c r="J46" s="1">
        <v>28.81</v>
      </c>
      <c r="K46" s="1">
        <f t="shared" si="22"/>
        <v>0</v>
      </c>
      <c r="L46" s="1">
        <v>27.02</v>
      </c>
      <c r="M46" s="1">
        <f t="shared" si="23"/>
        <v>0</v>
      </c>
      <c r="N46" s="1">
        <v>25.38</v>
      </c>
      <c r="O46" s="1">
        <f t="shared" si="24"/>
        <v>0</v>
      </c>
      <c r="P46" s="1">
        <v>23.89</v>
      </c>
      <c r="Q46" s="1">
        <f t="shared" si="25"/>
        <v>0</v>
      </c>
      <c r="R46" s="1"/>
      <c r="S46" s="1"/>
    </row>
    <row r="47" spans="1:19">
      <c r="A47" s="2">
        <v>11</v>
      </c>
      <c r="B47" s="1">
        <v>40.72</v>
      </c>
      <c r="C47" s="1">
        <f t="shared" si="18"/>
        <v>0</v>
      </c>
      <c r="D47" s="1">
        <v>37.950000000000003</v>
      </c>
      <c r="E47" s="1">
        <f t="shared" si="19"/>
        <v>0</v>
      </c>
      <c r="F47" s="1">
        <v>35.42</v>
      </c>
      <c r="G47" s="1">
        <f t="shared" si="20"/>
        <v>0</v>
      </c>
      <c r="H47" s="1">
        <v>33.090000000000003</v>
      </c>
      <c r="I47" s="1">
        <f t="shared" si="21"/>
        <v>0</v>
      </c>
      <c r="J47" s="1">
        <v>30.97</v>
      </c>
      <c r="K47" s="1">
        <f t="shared" si="22"/>
        <v>0</v>
      </c>
      <c r="L47" s="1">
        <v>29.02</v>
      </c>
      <c r="M47" s="1">
        <f t="shared" si="23"/>
        <v>0</v>
      </c>
      <c r="N47" s="1">
        <v>27.25</v>
      </c>
      <c r="O47" s="1">
        <f t="shared" si="24"/>
        <v>0</v>
      </c>
      <c r="P47" s="1">
        <v>25.64</v>
      </c>
      <c r="Q47" s="1">
        <f t="shared" si="25"/>
        <v>0</v>
      </c>
      <c r="R47" s="1"/>
      <c r="S47" s="1"/>
    </row>
    <row r="48" spans="1:19">
      <c r="A48" s="2">
        <v>12</v>
      </c>
      <c r="B48" s="1">
        <v>43.84</v>
      </c>
      <c r="C48" s="1">
        <f t="shared" si="18"/>
        <v>0</v>
      </c>
      <c r="D48" s="1">
        <v>40.840000000000003</v>
      </c>
      <c r="E48" s="1">
        <f t="shared" si="19"/>
        <v>0</v>
      </c>
      <c r="F48" s="1">
        <v>38.1</v>
      </c>
      <c r="G48" s="1">
        <f t="shared" si="20"/>
        <v>0</v>
      </c>
      <c r="H48" s="1">
        <v>35.58</v>
      </c>
      <c r="I48" s="1">
        <f t="shared" si="21"/>
        <v>0</v>
      </c>
      <c r="J48" s="1">
        <v>33.26</v>
      </c>
      <c r="K48" s="1">
        <f t="shared" si="22"/>
        <v>0</v>
      </c>
      <c r="L48" s="1">
        <v>31.18</v>
      </c>
      <c r="M48" s="1">
        <f t="shared" si="23"/>
        <v>0</v>
      </c>
      <c r="N48" s="1">
        <v>29.26</v>
      </c>
      <c r="O48" s="1">
        <f t="shared" si="24"/>
        <v>0</v>
      </c>
      <c r="P48" s="1">
        <v>27.51</v>
      </c>
      <c r="Q48" s="1">
        <f t="shared" si="25"/>
        <v>0</v>
      </c>
      <c r="R48" s="1"/>
      <c r="S48" s="1"/>
    </row>
    <row r="49" spans="1:19">
      <c r="A49" s="2">
        <v>13</v>
      </c>
      <c r="B49" s="1">
        <v>47.2</v>
      </c>
      <c r="C49" s="1">
        <f t="shared" si="18"/>
        <v>0</v>
      </c>
      <c r="D49" s="1">
        <v>43.96</v>
      </c>
      <c r="E49" s="1">
        <f t="shared" si="19"/>
        <v>0</v>
      </c>
      <c r="F49" s="1">
        <v>40.98</v>
      </c>
      <c r="G49" s="1">
        <f t="shared" si="20"/>
        <v>0</v>
      </c>
      <c r="H49" s="1">
        <v>38.26</v>
      </c>
      <c r="I49" s="1">
        <f t="shared" si="21"/>
        <v>0</v>
      </c>
      <c r="J49" s="1">
        <v>35.770000000000003</v>
      </c>
      <c r="K49" s="1">
        <f t="shared" si="22"/>
        <v>0</v>
      </c>
      <c r="L49" s="1">
        <v>33.49</v>
      </c>
      <c r="M49" s="1">
        <f t="shared" si="23"/>
        <v>0</v>
      </c>
      <c r="N49" s="1">
        <v>31.41</v>
      </c>
      <c r="O49" s="1">
        <f t="shared" si="24"/>
        <v>0</v>
      </c>
      <c r="P49" s="1">
        <v>29.53</v>
      </c>
      <c r="Q49" s="1">
        <f t="shared" si="25"/>
        <v>0</v>
      </c>
      <c r="R49" s="1"/>
      <c r="S49" s="1"/>
    </row>
    <row r="50" spans="1:19">
      <c r="A50" s="2">
        <v>14</v>
      </c>
      <c r="B50" s="1">
        <v>50.04</v>
      </c>
      <c r="C50" s="1">
        <f t="shared" si="18"/>
        <v>0</v>
      </c>
      <c r="D50" s="1">
        <v>47.31</v>
      </c>
      <c r="E50" s="1">
        <f t="shared" si="19"/>
        <v>0</v>
      </c>
      <c r="F50" s="1">
        <v>44.09</v>
      </c>
      <c r="G50" s="1">
        <f t="shared" si="20"/>
        <v>0</v>
      </c>
      <c r="H50" s="1">
        <v>41.14</v>
      </c>
      <c r="I50" s="1">
        <f t="shared" si="21"/>
        <v>0</v>
      </c>
      <c r="J50" s="1">
        <v>38.44</v>
      </c>
      <c r="K50" s="1">
        <f t="shared" si="22"/>
        <v>0</v>
      </c>
      <c r="L50" s="1">
        <v>35.97</v>
      </c>
      <c r="M50" s="1">
        <f t="shared" si="23"/>
        <v>0</v>
      </c>
      <c r="N50" s="1">
        <v>33.72</v>
      </c>
      <c r="O50" s="1">
        <f t="shared" si="24"/>
        <v>0</v>
      </c>
      <c r="P50" s="1">
        <v>31.67</v>
      </c>
      <c r="Q50" s="1">
        <f t="shared" si="25"/>
        <v>0</v>
      </c>
      <c r="R50" s="1"/>
      <c r="S50" s="1"/>
    </row>
    <row r="51" spans="1:19">
      <c r="A51" s="2">
        <v>15</v>
      </c>
      <c r="B51" s="1">
        <v>53.22</v>
      </c>
      <c r="C51" s="1">
        <f t="shared" si="18"/>
        <v>0</v>
      </c>
      <c r="D51" s="1">
        <v>50.14</v>
      </c>
      <c r="E51" s="1">
        <f t="shared" si="19"/>
        <v>0</v>
      </c>
      <c r="F51" s="1">
        <v>47.43</v>
      </c>
      <c r="G51" s="1">
        <f t="shared" si="20"/>
        <v>0</v>
      </c>
      <c r="H51" s="1">
        <v>44.23</v>
      </c>
      <c r="I51" s="1">
        <f t="shared" si="21"/>
        <v>0</v>
      </c>
      <c r="J51" s="1">
        <v>41.31</v>
      </c>
      <c r="K51" s="1">
        <f t="shared" si="22"/>
        <v>0</v>
      </c>
      <c r="L51" s="1">
        <v>38.630000000000003</v>
      </c>
      <c r="M51" s="1">
        <f t="shared" si="23"/>
        <v>0</v>
      </c>
      <c r="N51" s="1">
        <v>36.200000000000003</v>
      </c>
      <c r="O51" s="1">
        <f t="shared" si="24"/>
        <v>0</v>
      </c>
      <c r="P51" s="1">
        <v>33.979999999999997</v>
      </c>
      <c r="Q51" s="1">
        <f t="shared" si="25"/>
        <v>0</v>
      </c>
      <c r="R51" s="1"/>
      <c r="S51" s="1"/>
    </row>
    <row r="52" spans="1:19">
      <c r="A52" s="2">
        <v>16</v>
      </c>
      <c r="B52" s="1">
        <v>56.79</v>
      </c>
      <c r="C52" s="1">
        <f t="shared" si="18"/>
        <v>0</v>
      </c>
      <c r="D52" s="1">
        <v>53.31</v>
      </c>
      <c r="E52" s="1">
        <f t="shared" si="19"/>
        <v>0</v>
      </c>
      <c r="F52" s="1">
        <v>50.25</v>
      </c>
      <c r="G52" s="1">
        <f t="shared" si="20"/>
        <v>0</v>
      </c>
      <c r="H52" s="1">
        <v>47.57</v>
      </c>
      <c r="I52" s="1">
        <f t="shared" si="21"/>
        <v>0</v>
      </c>
      <c r="J52" s="1">
        <v>44.39</v>
      </c>
      <c r="K52" s="1">
        <f t="shared" si="22"/>
        <v>0</v>
      </c>
      <c r="L52" s="1">
        <v>41.6</v>
      </c>
      <c r="M52" s="1">
        <f t="shared" si="23"/>
        <v>0</v>
      </c>
      <c r="N52" s="1">
        <v>38.85</v>
      </c>
      <c r="O52" s="1">
        <f t="shared" si="24"/>
        <v>0</v>
      </c>
      <c r="P52" s="1">
        <v>36.44</v>
      </c>
      <c r="Q52" s="1">
        <f t="shared" si="25"/>
        <v>0</v>
      </c>
      <c r="R52" s="1"/>
      <c r="S52" s="1"/>
    </row>
    <row r="53" spans="1:19">
      <c r="A53" s="2">
        <v>17</v>
      </c>
      <c r="B53" s="1">
        <v>60.82</v>
      </c>
      <c r="C53" s="1">
        <f t="shared" si="18"/>
        <v>0</v>
      </c>
      <c r="D53" s="1">
        <v>56.87</v>
      </c>
      <c r="E53" s="1">
        <f t="shared" si="19"/>
        <v>0</v>
      </c>
      <c r="F53" s="1">
        <v>53.4</v>
      </c>
      <c r="G53" s="1">
        <f t="shared" si="20"/>
        <v>0</v>
      </c>
      <c r="H53" s="1">
        <v>50.37</v>
      </c>
      <c r="I53" s="1">
        <f t="shared" si="21"/>
        <v>0</v>
      </c>
      <c r="J53" s="1">
        <v>47.17</v>
      </c>
      <c r="K53" s="1">
        <f t="shared" si="22"/>
        <v>0</v>
      </c>
      <c r="L53" s="1">
        <v>44.57</v>
      </c>
      <c r="M53" s="1">
        <f t="shared" si="23"/>
        <v>0</v>
      </c>
      <c r="N53" s="1">
        <v>41.7</v>
      </c>
      <c r="O53" s="1">
        <f t="shared" si="24"/>
        <v>0</v>
      </c>
      <c r="P53" s="1">
        <v>39.090000000000003</v>
      </c>
      <c r="Q53" s="1">
        <f t="shared" si="25"/>
        <v>0</v>
      </c>
      <c r="R53" s="1"/>
      <c r="S53" s="1"/>
    </row>
    <row r="54" spans="1:19">
      <c r="A54" s="2">
        <v>18</v>
      </c>
      <c r="B54" s="1">
        <v>65.39</v>
      </c>
      <c r="C54" s="1">
        <f t="shared" si="18"/>
        <v>0</v>
      </c>
      <c r="D54" s="1">
        <v>60.89</v>
      </c>
      <c r="E54" s="1">
        <f t="shared" si="19"/>
        <v>0</v>
      </c>
      <c r="F54" s="1">
        <v>56.95</v>
      </c>
      <c r="G54" s="1">
        <f t="shared" si="20"/>
        <v>0</v>
      </c>
      <c r="H54" s="1">
        <v>53.51</v>
      </c>
      <c r="I54" s="1">
        <f t="shared" si="21"/>
        <v>0</v>
      </c>
      <c r="J54" s="1">
        <v>50.5</v>
      </c>
      <c r="K54" s="1">
        <f t="shared" si="22"/>
        <v>0</v>
      </c>
      <c r="L54" s="1">
        <v>47.87</v>
      </c>
      <c r="M54" s="1">
        <f t="shared" si="23"/>
        <v>0</v>
      </c>
      <c r="N54" s="1">
        <v>44.76</v>
      </c>
      <c r="O54" s="1">
        <f t="shared" si="24"/>
        <v>0</v>
      </c>
      <c r="P54" s="1">
        <v>41.92</v>
      </c>
      <c r="Q54" s="1">
        <f t="shared" si="25"/>
        <v>0</v>
      </c>
      <c r="R54" s="1"/>
      <c r="S54" s="1"/>
    </row>
    <row r="55" spans="1:19">
      <c r="A55" s="2">
        <v>19</v>
      </c>
      <c r="B55" s="1">
        <v>71.12</v>
      </c>
      <c r="C55" s="1">
        <f t="shared" si="18"/>
        <v>0</v>
      </c>
      <c r="D55" s="1">
        <v>65.44</v>
      </c>
      <c r="E55" s="1">
        <f t="shared" si="19"/>
        <v>0</v>
      </c>
      <c r="F55" s="1">
        <v>60.95</v>
      </c>
      <c r="G55" s="1">
        <f t="shared" si="20"/>
        <v>0</v>
      </c>
      <c r="H55" s="1">
        <v>57.04</v>
      </c>
      <c r="I55" s="1">
        <f t="shared" si="21"/>
        <v>0</v>
      </c>
      <c r="J55" s="1">
        <v>53.63</v>
      </c>
      <c r="K55" s="1">
        <f t="shared" si="22"/>
        <v>0</v>
      </c>
      <c r="L55" s="1">
        <v>50.65</v>
      </c>
      <c r="M55" s="1">
        <f t="shared" si="23"/>
        <v>0</v>
      </c>
      <c r="N55" s="1">
        <v>48.05</v>
      </c>
      <c r="O55" s="1">
        <f t="shared" si="24"/>
        <v>0</v>
      </c>
      <c r="P55" s="1">
        <v>44.97</v>
      </c>
      <c r="Q55" s="1">
        <f t="shared" si="25"/>
        <v>0</v>
      </c>
      <c r="R55" s="1"/>
      <c r="S55" s="1"/>
    </row>
    <row r="56" spans="1:19">
      <c r="A56" s="2">
        <v>20</v>
      </c>
      <c r="B56" s="1">
        <v>77.38</v>
      </c>
      <c r="C56" s="1">
        <f t="shared" si="18"/>
        <v>0</v>
      </c>
      <c r="D56" s="1">
        <v>71.150000000000006</v>
      </c>
      <c r="E56" s="1">
        <f t="shared" si="19"/>
        <v>0</v>
      </c>
      <c r="F56" s="1">
        <v>65.489999999999995</v>
      </c>
      <c r="G56" s="1">
        <f t="shared" si="20"/>
        <v>0</v>
      </c>
      <c r="H56" s="1">
        <v>61.03</v>
      </c>
      <c r="I56" s="1">
        <f t="shared" si="21"/>
        <v>0</v>
      </c>
      <c r="J56" s="1">
        <v>57.14</v>
      </c>
      <c r="K56" s="1">
        <f t="shared" si="22"/>
        <v>0</v>
      </c>
      <c r="L56" s="1">
        <v>53.76</v>
      </c>
      <c r="M56" s="1">
        <f t="shared" si="23"/>
        <v>0</v>
      </c>
      <c r="N56" s="1">
        <v>50.81</v>
      </c>
      <c r="O56" s="1">
        <f t="shared" si="24"/>
        <v>0</v>
      </c>
      <c r="P56" s="1">
        <v>48.24</v>
      </c>
      <c r="Q56" s="1">
        <f t="shared" si="25"/>
        <v>0</v>
      </c>
      <c r="R56" s="1"/>
      <c r="S56" s="1"/>
    </row>
    <row r="57" spans="1:19">
      <c r="A57" s="2">
        <v>21</v>
      </c>
      <c r="B57" s="1">
        <v>84.23</v>
      </c>
      <c r="C57" s="1">
        <f t="shared" si="18"/>
        <v>0</v>
      </c>
      <c r="D57" s="1">
        <v>77.39</v>
      </c>
      <c r="E57" s="1">
        <f t="shared" si="19"/>
        <v>0</v>
      </c>
      <c r="F57" s="1">
        <v>71.19</v>
      </c>
      <c r="G57" s="1">
        <f t="shared" si="20"/>
        <v>0</v>
      </c>
      <c r="H57" s="1">
        <v>65.55</v>
      </c>
      <c r="I57" s="1">
        <f t="shared" si="21"/>
        <v>0</v>
      </c>
      <c r="J57" s="1">
        <v>61.11</v>
      </c>
      <c r="K57" s="1">
        <f t="shared" si="22"/>
        <v>0</v>
      </c>
      <c r="L57" s="1">
        <v>57.25</v>
      </c>
      <c r="M57" s="1">
        <f t="shared" si="23"/>
        <v>0</v>
      </c>
      <c r="N57" s="1">
        <v>53.9</v>
      </c>
      <c r="O57" s="1">
        <f t="shared" si="24"/>
        <v>0</v>
      </c>
      <c r="P57" s="1">
        <v>50.98</v>
      </c>
      <c r="Q57" s="1">
        <f t="shared" si="25"/>
        <v>0</v>
      </c>
      <c r="R57" s="1"/>
      <c r="S57" s="1"/>
    </row>
    <row r="58" spans="1:19">
      <c r="A58" s="2">
        <v>22</v>
      </c>
      <c r="B58" s="1">
        <v>91.74</v>
      </c>
      <c r="C58" s="1">
        <f t="shared" si="18"/>
        <v>0</v>
      </c>
      <c r="D58" s="1">
        <v>84.23</v>
      </c>
      <c r="E58" s="1">
        <f t="shared" si="19"/>
        <v>0</v>
      </c>
      <c r="F58" s="1">
        <v>77.41</v>
      </c>
      <c r="G58" s="1">
        <f t="shared" si="20"/>
        <v>0</v>
      </c>
      <c r="H58" s="1">
        <v>71.22</v>
      </c>
      <c r="I58" s="1">
        <f t="shared" si="21"/>
        <v>0</v>
      </c>
      <c r="J58" s="1">
        <v>65.61</v>
      </c>
      <c r="K58" s="1">
        <f t="shared" si="22"/>
        <v>0</v>
      </c>
      <c r="L58" s="1">
        <v>61.2</v>
      </c>
      <c r="M58" s="1">
        <f t="shared" si="23"/>
        <v>0</v>
      </c>
      <c r="N58" s="1">
        <v>57.37</v>
      </c>
      <c r="O58" s="1">
        <f t="shared" si="24"/>
        <v>0</v>
      </c>
      <c r="P58" s="1">
        <v>54.05</v>
      </c>
      <c r="Q58" s="1">
        <f t="shared" si="25"/>
        <v>0</v>
      </c>
      <c r="R58" s="1"/>
      <c r="S58" s="1"/>
    </row>
    <row r="59" spans="1:19">
      <c r="A59" s="2">
        <v>23</v>
      </c>
      <c r="B59" s="1"/>
      <c r="C59" s="1"/>
      <c r="D59" s="1">
        <v>91.74</v>
      </c>
      <c r="E59" s="1">
        <f t="shared" si="19"/>
        <v>0</v>
      </c>
      <c r="F59" s="1">
        <v>84.24</v>
      </c>
      <c r="G59" s="1">
        <f t="shared" si="20"/>
        <v>0</v>
      </c>
      <c r="H59" s="1">
        <v>77.44</v>
      </c>
      <c r="I59" s="1">
        <f t="shared" si="21"/>
        <v>0</v>
      </c>
      <c r="J59" s="1">
        <v>71.27</v>
      </c>
      <c r="K59" s="1">
        <f t="shared" si="22"/>
        <v>0</v>
      </c>
      <c r="L59" s="1">
        <v>65.680000000000007</v>
      </c>
      <c r="M59" s="1">
        <f t="shared" si="23"/>
        <v>0</v>
      </c>
      <c r="N59" s="1">
        <v>61.3</v>
      </c>
      <c r="O59" s="1">
        <f t="shared" si="24"/>
        <v>0</v>
      </c>
      <c r="P59" s="1">
        <v>57.5</v>
      </c>
      <c r="Q59" s="1">
        <f t="shared" si="25"/>
        <v>0</v>
      </c>
      <c r="R59" s="1"/>
      <c r="S59" s="1"/>
    </row>
    <row r="60" spans="1:19">
      <c r="A60" s="2">
        <v>24</v>
      </c>
      <c r="B60" s="1"/>
      <c r="C60" s="1"/>
      <c r="D60" s="1"/>
      <c r="E60" s="1"/>
      <c r="F60" s="1">
        <v>91.74</v>
      </c>
      <c r="G60" s="1">
        <f t="shared" si="20"/>
        <v>0</v>
      </c>
      <c r="H60" s="1">
        <v>84.25</v>
      </c>
      <c r="I60" s="1">
        <f t="shared" si="21"/>
        <v>0</v>
      </c>
      <c r="J60" s="1">
        <v>77.459999999999994</v>
      </c>
      <c r="K60" s="1">
        <f t="shared" si="22"/>
        <v>0</v>
      </c>
      <c r="L60" s="1">
        <v>71.31</v>
      </c>
      <c r="M60" s="1">
        <f t="shared" si="23"/>
        <v>0</v>
      </c>
      <c r="N60" s="1">
        <v>65.760000000000005</v>
      </c>
      <c r="O60" s="1">
        <f t="shared" si="24"/>
        <v>0</v>
      </c>
      <c r="P60" s="1">
        <v>61.41</v>
      </c>
      <c r="Q60" s="1">
        <f t="shared" si="25"/>
        <v>0</v>
      </c>
      <c r="R60" s="1"/>
      <c r="S60" s="1"/>
    </row>
    <row r="61" spans="1:19">
      <c r="A61" s="2">
        <v>25</v>
      </c>
      <c r="B61" s="1"/>
      <c r="C61" s="1"/>
      <c r="D61" s="1"/>
      <c r="E61" s="1"/>
      <c r="F61" s="1"/>
      <c r="G61" s="1"/>
      <c r="H61" s="1">
        <v>91.74</v>
      </c>
      <c r="I61" s="1">
        <f t="shared" si="21"/>
        <v>0</v>
      </c>
      <c r="J61" s="1">
        <v>84.26</v>
      </c>
      <c r="K61" s="1">
        <f t="shared" si="22"/>
        <v>0</v>
      </c>
      <c r="L61" s="1">
        <v>77.489999999999995</v>
      </c>
      <c r="M61" s="1">
        <f t="shared" si="23"/>
        <v>0</v>
      </c>
      <c r="N61" s="1">
        <v>71.36</v>
      </c>
      <c r="O61" s="1">
        <f t="shared" si="24"/>
        <v>0</v>
      </c>
      <c r="P61" s="1">
        <v>65.84</v>
      </c>
      <c r="Q61" s="1">
        <f t="shared" si="25"/>
        <v>0</v>
      </c>
      <c r="R61" s="1"/>
      <c r="S61" s="1"/>
    </row>
    <row r="62" spans="1:19">
      <c r="A62" s="2">
        <v>26</v>
      </c>
      <c r="B62" s="1"/>
      <c r="C62" s="1"/>
      <c r="D62" s="1"/>
      <c r="E62" s="1"/>
      <c r="F62" s="1"/>
      <c r="G62" s="1"/>
      <c r="H62" s="1"/>
      <c r="I62" s="1"/>
      <c r="J62" s="1">
        <v>91.74</v>
      </c>
      <c r="K62" s="1">
        <f t="shared" si="22"/>
        <v>0</v>
      </c>
      <c r="L62" s="1">
        <v>84.27</v>
      </c>
      <c r="M62" s="1">
        <f t="shared" si="23"/>
        <v>0</v>
      </c>
      <c r="N62" s="1">
        <v>77.52</v>
      </c>
      <c r="O62" s="1">
        <f t="shared" si="24"/>
        <v>0</v>
      </c>
      <c r="P62" s="1">
        <v>71.42</v>
      </c>
      <c r="Q62" s="1">
        <f t="shared" si="25"/>
        <v>0</v>
      </c>
      <c r="R62" s="1"/>
      <c r="S62" s="1"/>
    </row>
    <row r="63" spans="1:19">
      <c r="A63" s="2">
        <v>27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>
        <v>91.74</v>
      </c>
      <c r="M63" s="1">
        <f t="shared" si="23"/>
        <v>0</v>
      </c>
      <c r="N63" s="1">
        <v>84.28</v>
      </c>
      <c r="O63" s="1">
        <f t="shared" si="24"/>
        <v>0</v>
      </c>
      <c r="P63" s="1">
        <v>77.55</v>
      </c>
      <c r="Q63" s="1">
        <f t="shared" si="25"/>
        <v>0</v>
      </c>
      <c r="R63" s="1"/>
      <c r="S63" s="1"/>
    </row>
    <row r="64" spans="1:19">
      <c r="A64" s="2">
        <v>28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>
        <v>91.74</v>
      </c>
      <c r="O64" s="1">
        <f t="shared" si="24"/>
        <v>0</v>
      </c>
      <c r="P64" s="1">
        <v>84.29</v>
      </c>
      <c r="Q64" s="1">
        <f t="shared" si="25"/>
        <v>0</v>
      </c>
      <c r="R64" s="1"/>
      <c r="S64" s="1"/>
    </row>
    <row r="65" spans="1:19">
      <c r="A65" s="2">
        <v>29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>
        <v>91.74</v>
      </c>
      <c r="Q65" s="1">
        <f t="shared" si="25"/>
        <v>0</v>
      </c>
      <c r="R65" s="1"/>
      <c r="S65" s="1"/>
    </row>
    <row r="66" spans="1:19">
      <c r="A66" s="1"/>
      <c r="B66" s="1"/>
      <c r="C66" s="1">
        <f>SUM(C39:C65)</f>
        <v>0</v>
      </c>
      <c r="D66" s="1"/>
      <c r="E66" s="1">
        <f>SUM(E39:E65)</f>
        <v>0</v>
      </c>
      <c r="F66" s="1"/>
      <c r="G66" s="1">
        <f>SUM(G39:G65)</f>
        <v>0</v>
      </c>
      <c r="H66" s="1"/>
      <c r="I66" s="1">
        <f>SUM(I39:I65)</f>
        <v>0</v>
      </c>
      <c r="J66" s="1"/>
      <c r="K66" s="1">
        <f>SUM(K39:K65)</f>
        <v>0</v>
      </c>
      <c r="L66" s="1"/>
      <c r="M66" s="1">
        <f>SUM(M39:M65)</f>
        <v>0</v>
      </c>
      <c r="N66" s="1"/>
      <c r="O66" s="1">
        <f>SUM(O39:O65)</f>
        <v>0</v>
      </c>
      <c r="P66" s="1"/>
      <c r="Q66" s="1">
        <f>SUM(Q39:Q65)</f>
        <v>0</v>
      </c>
      <c r="R66" s="1"/>
      <c r="S66" s="1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33</vt:i4>
      </vt:variant>
    </vt:vector>
  </HeadingPairs>
  <TitlesOfParts>
    <vt:vector size="36" baseType="lpstr">
      <vt:lpstr>Calculator</vt:lpstr>
      <vt:lpstr>LIC Surrender value chart</vt:lpstr>
      <vt:lpstr>LIC surrender value selector</vt:lpstr>
      <vt:lpstr>ppaid</vt:lpstr>
      <vt:lpstr>pppaid</vt:lpstr>
      <vt:lpstr>Suma</vt:lpstr>
      <vt:lpstr>svf</vt:lpstr>
      <vt:lpstr>term</vt:lpstr>
      <vt:lpstr>term10</vt:lpstr>
      <vt:lpstr>term11</vt:lpstr>
      <vt:lpstr>term12</vt:lpstr>
      <vt:lpstr>term13</vt:lpstr>
      <vt:lpstr>term14</vt:lpstr>
      <vt:lpstr>term15</vt:lpstr>
      <vt:lpstr>term15\</vt:lpstr>
      <vt:lpstr>term16</vt:lpstr>
      <vt:lpstr>term17</vt:lpstr>
      <vt:lpstr>term18</vt:lpstr>
      <vt:lpstr>term19</vt:lpstr>
      <vt:lpstr>term20</vt:lpstr>
      <vt:lpstr>term21</vt:lpstr>
      <vt:lpstr>term22</vt:lpstr>
      <vt:lpstr>term23</vt:lpstr>
      <vt:lpstr>term24</vt:lpstr>
      <vt:lpstr>term25</vt:lpstr>
      <vt:lpstr>term26</vt:lpstr>
      <vt:lpstr>term27</vt:lpstr>
      <vt:lpstr>term28</vt:lpstr>
      <vt:lpstr>term29</vt:lpstr>
      <vt:lpstr>term30</vt:lpstr>
      <vt:lpstr>term5</vt:lpstr>
      <vt:lpstr>term6</vt:lpstr>
      <vt:lpstr>term7</vt:lpstr>
      <vt:lpstr>term8</vt:lpstr>
      <vt:lpstr>term9</vt:lpstr>
      <vt:lpstr>ypaid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rama</cp:lastModifiedBy>
  <dcterms:created xsi:type="dcterms:W3CDTF">2013-01-25T01:52:05Z</dcterms:created>
  <dcterms:modified xsi:type="dcterms:W3CDTF">2013-02-02T10:25:00Z</dcterms:modified>
</cp:coreProperties>
</file>