
<file path=[Content_Types].xml><?xml version="1.0" encoding="utf-8"?>
<Types xmlns="http://schemas.openxmlformats.org/package/2006/content-types">
  <Default Extension="png" ContentType="image/png"/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37E998C4-C9E5-D4B9-71C8-EB1FF731991C}"/>
  <workbookPr showInkAnnotation="0" codeName="ThisWorkbook" autoCompressPictures="0"/>
  <bookViews>
    <workbookView xWindow="-348" yWindow="1332" windowWidth="16488" windowHeight="9312" tabRatio="500" activeTab="2"/>
  </bookViews>
  <sheets>
    <sheet name="PPF Calculator" sheetId="5" r:id="rId1"/>
    <sheet name="Goal Calculator" sheetId="7" r:id="rId2"/>
    <sheet name="PPF Tracker" sheetId="6" r:id="rId3"/>
    <sheet name="Post 15 yearsTracker " sheetId="10" r:id="rId4"/>
    <sheet name="Interest Rate History" sheetId="8" r:id="rId5"/>
  </sheets>
  <definedNames>
    <definedName name="Freq" localSheetId="3">#REF!</definedName>
    <definedName name="Freq" localSheetId="2">#REF!</definedName>
    <definedName name="Freq">#REF!</definedName>
    <definedName name="Inv" localSheetId="3">#REF!</definedName>
    <definedName name="Inv" localSheetId="2">#REF!</definedName>
    <definedName name="Inv">#REF!</definedName>
    <definedName name="Maturity" localSheetId="3">#REF!</definedName>
    <definedName name="Maturity" localSheetId="2">#REF!</definedName>
    <definedName name="Maturity">#REF!</definedName>
    <definedName name="Rate" localSheetId="3">#REF!</definedName>
    <definedName name="Rate" localSheetId="2">#REF!</definedName>
    <definedName name="Rate">#REF!</definedName>
  </definedNames>
  <calcPr calcId="125725"/>
</workbook>
</file>

<file path=xl/calcChain.xml><?xml version="1.0" encoding="utf-8"?>
<calcChain xmlns="http://schemas.openxmlformats.org/spreadsheetml/2006/main">
  <c r="N266" i="6"/>
  <c r="N265"/>
  <c r="L265"/>
  <c r="M265" s="1"/>
  <c r="N264"/>
  <c r="L264"/>
  <c r="M264" s="1"/>
  <c r="N263"/>
  <c r="M263"/>
  <c r="L263"/>
  <c r="N262"/>
  <c r="L262"/>
  <c r="M262" s="1"/>
  <c r="N261"/>
  <c r="M261"/>
  <c r="L261"/>
  <c r="N260"/>
  <c r="L260"/>
  <c r="M260" s="1"/>
  <c r="N259"/>
  <c r="L259"/>
  <c r="M259" s="1"/>
  <c r="N258"/>
  <c r="M258"/>
  <c r="L258"/>
  <c r="P257"/>
  <c r="N257"/>
  <c r="M257"/>
  <c r="L257"/>
  <c r="N256"/>
  <c r="L256"/>
  <c r="M256" s="1"/>
  <c r="N255"/>
  <c r="M255"/>
  <c r="L255"/>
  <c r="F255"/>
  <c r="P259" s="1"/>
  <c r="D255"/>
  <c r="N254"/>
  <c r="L254"/>
  <c r="M254" s="1"/>
  <c r="N170" i="10"/>
  <c r="N169"/>
  <c r="N168"/>
  <c r="N167"/>
  <c r="N166"/>
  <c r="N165"/>
  <c r="N164"/>
  <c r="N163"/>
  <c r="N162"/>
  <c r="N161"/>
  <c r="N160"/>
  <c r="N159"/>
  <c r="N171"/>
  <c r="P162"/>
  <c r="D160"/>
  <c r="F80"/>
  <c r="F64"/>
  <c r="F48"/>
  <c r="F32"/>
  <c r="F16"/>
  <c r="N155"/>
  <c r="N154"/>
  <c r="N153"/>
  <c r="N152"/>
  <c r="N151"/>
  <c r="N150"/>
  <c r="N149"/>
  <c r="N148"/>
  <c r="N147"/>
  <c r="P146"/>
  <c r="N146"/>
  <c r="N145"/>
  <c r="N144"/>
  <c r="D144"/>
  <c r="N143"/>
  <c r="N139"/>
  <c r="N138"/>
  <c r="N137"/>
  <c r="N136"/>
  <c r="N135"/>
  <c r="N134"/>
  <c r="N133"/>
  <c r="N132"/>
  <c r="N131"/>
  <c r="P130"/>
  <c r="N130"/>
  <c r="N129"/>
  <c r="N128"/>
  <c r="D128"/>
  <c r="N127"/>
  <c r="N123"/>
  <c r="N122"/>
  <c r="N121"/>
  <c r="N120"/>
  <c r="N119"/>
  <c r="N118"/>
  <c r="N117"/>
  <c r="N116"/>
  <c r="N115"/>
  <c r="P114"/>
  <c r="N114"/>
  <c r="N113"/>
  <c r="N112"/>
  <c r="D112"/>
  <c r="N111"/>
  <c r="N107"/>
  <c r="N106"/>
  <c r="N105"/>
  <c r="N104"/>
  <c r="N103"/>
  <c r="N102"/>
  <c r="N101"/>
  <c r="N100"/>
  <c r="N99"/>
  <c r="P98"/>
  <c r="N98"/>
  <c r="N97"/>
  <c r="N96"/>
  <c r="D96"/>
  <c r="N95"/>
  <c r="N91"/>
  <c r="N90"/>
  <c r="N89"/>
  <c r="N88"/>
  <c r="N87"/>
  <c r="N86"/>
  <c r="N85"/>
  <c r="N84"/>
  <c r="N83"/>
  <c r="P82"/>
  <c r="N82"/>
  <c r="N81"/>
  <c r="N80"/>
  <c r="D80"/>
  <c r="N79"/>
  <c r="N75"/>
  <c r="N74"/>
  <c r="N73"/>
  <c r="N72"/>
  <c r="N71"/>
  <c r="N70"/>
  <c r="N69"/>
  <c r="N68"/>
  <c r="N67"/>
  <c r="P66"/>
  <c r="N66"/>
  <c r="N65"/>
  <c r="N64"/>
  <c r="D64"/>
  <c r="N63"/>
  <c r="N59"/>
  <c r="N58"/>
  <c r="N57"/>
  <c r="N56"/>
  <c r="N55"/>
  <c r="N54"/>
  <c r="N53"/>
  <c r="N52"/>
  <c r="N51"/>
  <c r="P50"/>
  <c r="N50"/>
  <c r="N49"/>
  <c r="N48"/>
  <c r="D48"/>
  <c r="N47"/>
  <c r="N43"/>
  <c r="N42"/>
  <c r="N41"/>
  <c r="N40"/>
  <c r="N39"/>
  <c r="N38"/>
  <c r="N37"/>
  <c r="N36"/>
  <c r="N35"/>
  <c r="P34"/>
  <c r="N34"/>
  <c r="N33"/>
  <c r="N32"/>
  <c r="D32"/>
  <c r="N31"/>
  <c r="N27"/>
  <c r="N26"/>
  <c r="N25"/>
  <c r="N24"/>
  <c r="N23"/>
  <c r="N22"/>
  <c r="N21"/>
  <c r="N20"/>
  <c r="N19"/>
  <c r="P18"/>
  <c r="N18"/>
  <c r="N17"/>
  <c r="N16"/>
  <c r="D16"/>
  <c r="N15"/>
  <c r="N249" i="6"/>
  <c r="N248"/>
  <c r="N247"/>
  <c r="N246"/>
  <c r="N245"/>
  <c r="N244"/>
  <c r="N243"/>
  <c r="N242"/>
  <c r="N241"/>
  <c r="N240"/>
  <c r="N239"/>
  <c r="N238"/>
  <c r="N224"/>
  <c r="N225" s="1"/>
  <c r="N226" s="1"/>
  <c r="N227" s="1"/>
  <c r="N228" s="1"/>
  <c r="N229" s="1"/>
  <c r="N230" s="1"/>
  <c r="N231" s="1"/>
  <c r="N232" s="1"/>
  <c r="N233" s="1"/>
  <c r="N222"/>
  <c r="N223" s="1"/>
  <c r="N217"/>
  <c r="N216"/>
  <c r="N215"/>
  <c r="N214"/>
  <c r="N213"/>
  <c r="N212"/>
  <c r="N211"/>
  <c r="N210"/>
  <c r="N209"/>
  <c r="N208"/>
  <c r="N207"/>
  <c r="N206"/>
  <c r="N201"/>
  <c r="N200"/>
  <c r="N199"/>
  <c r="N198"/>
  <c r="N197"/>
  <c r="N196"/>
  <c r="N195"/>
  <c r="N194"/>
  <c r="N193"/>
  <c r="N192"/>
  <c r="N191"/>
  <c r="N190"/>
  <c r="N185"/>
  <c r="N184"/>
  <c r="N183"/>
  <c r="N182"/>
  <c r="N181"/>
  <c r="N180"/>
  <c r="N179"/>
  <c r="N178"/>
  <c r="N177"/>
  <c r="N176"/>
  <c r="N175"/>
  <c r="N174"/>
  <c r="N169"/>
  <c r="N168"/>
  <c r="N167"/>
  <c r="N166"/>
  <c r="N165"/>
  <c r="N164"/>
  <c r="N163"/>
  <c r="N162"/>
  <c r="N161"/>
  <c r="N160"/>
  <c r="N159"/>
  <c r="N158"/>
  <c r="N153"/>
  <c r="N152"/>
  <c r="N151"/>
  <c r="N150"/>
  <c r="N149"/>
  <c r="N148"/>
  <c r="N147"/>
  <c r="N146"/>
  <c r="N145"/>
  <c r="N144"/>
  <c r="N143"/>
  <c r="N142"/>
  <c r="N130"/>
  <c r="N131" s="1"/>
  <c r="N132" s="1"/>
  <c r="N133" s="1"/>
  <c r="N134" s="1"/>
  <c r="N135" s="1"/>
  <c r="N136" s="1"/>
  <c r="N137" s="1"/>
  <c r="N126"/>
  <c r="N127" s="1"/>
  <c r="N128" s="1"/>
  <c r="N129" s="1"/>
  <c r="N250"/>
  <c r="N234"/>
  <c r="N218"/>
  <c r="N202"/>
  <c r="N186"/>
  <c r="N170"/>
  <c r="N154"/>
  <c r="N138"/>
  <c r="N122"/>
  <c r="N110"/>
  <c r="N111" s="1"/>
  <c r="N112" s="1"/>
  <c r="N113" s="1"/>
  <c r="N114" s="1"/>
  <c r="N115" s="1"/>
  <c r="N116" s="1"/>
  <c r="N117" s="1"/>
  <c r="N118" s="1"/>
  <c r="N119" s="1"/>
  <c r="N120" s="1"/>
  <c r="N121" s="1"/>
  <c r="D93"/>
  <c r="D77"/>
  <c r="D61"/>
  <c r="D45"/>
  <c r="L25"/>
  <c r="M25" s="1"/>
  <c r="L24"/>
  <c r="M24" s="1"/>
  <c r="L23"/>
  <c r="M23" s="1"/>
  <c r="L22"/>
  <c r="M22" s="1"/>
  <c r="L21"/>
  <c r="M21" s="1"/>
  <c r="L20"/>
  <c r="M20" s="1"/>
  <c r="L19"/>
  <c r="M19" s="1"/>
  <c r="L18"/>
  <c r="M18" s="1"/>
  <c r="L17"/>
  <c r="M17" s="1"/>
  <c r="L16"/>
  <c r="M16" s="1"/>
  <c r="L15"/>
  <c r="M15" s="1"/>
  <c r="L14"/>
  <c r="M14" s="1"/>
  <c r="D44"/>
  <c r="L1" i="7"/>
  <c r="L2" s="1"/>
  <c r="A12" s="1"/>
  <c r="D239" i="6"/>
  <c r="D223"/>
  <c r="D207"/>
  <c r="D191"/>
  <c r="D175"/>
  <c r="D159"/>
  <c r="D143"/>
  <c r="D127"/>
  <c r="D111"/>
  <c r="D92"/>
  <c r="D76"/>
  <c r="D60"/>
  <c r="P241"/>
  <c r="P225"/>
  <c r="P209"/>
  <c r="P193"/>
  <c r="P177"/>
  <c r="P161"/>
  <c r="P145"/>
  <c r="P129"/>
  <c r="P113"/>
  <c r="P97"/>
  <c r="P81"/>
  <c r="P65"/>
  <c r="P49"/>
  <c r="P33"/>
  <c r="P17"/>
  <c r="E13" i="5"/>
  <c r="I14"/>
  <c r="J14" s="1"/>
  <c r="I15"/>
  <c r="I16"/>
  <c r="I17"/>
  <c r="I18"/>
  <c r="I19"/>
  <c r="I20"/>
  <c r="I21"/>
  <c r="I22"/>
  <c r="I23"/>
  <c r="I24"/>
  <c r="I25"/>
  <c r="I30"/>
  <c r="I31"/>
  <c r="I32"/>
  <c r="I33"/>
  <c r="I34"/>
  <c r="I35"/>
  <c r="I36"/>
  <c r="I37"/>
  <c r="I38"/>
  <c r="I39"/>
  <c r="I40"/>
  <c r="I41"/>
  <c r="I46"/>
  <c r="I47"/>
  <c r="I48"/>
  <c r="I49"/>
  <c r="I50"/>
  <c r="I51"/>
  <c r="I52"/>
  <c r="I53"/>
  <c r="I54"/>
  <c r="I55"/>
  <c r="I56"/>
  <c r="I57"/>
  <c r="I62"/>
  <c r="I63"/>
  <c r="I64"/>
  <c r="I65"/>
  <c r="I66"/>
  <c r="I67"/>
  <c r="I68"/>
  <c r="I69"/>
  <c r="I70"/>
  <c r="I71"/>
  <c r="I72"/>
  <c r="I73"/>
  <c r="I78"/>
  <c r="I79"/>
  <c r="I80"/>
  <c r="I81"/>
  <c r="I82"/>
  <c r="I83"/>
  <c r="I84"/>
  <c r="I85"/>
  <c r="I86"/>
  <c r="I87"/>
  <c r="I88"/>
  <c r="I89"/>
  <c r="I94"/>
  <c r="I95"/>
  <c r="I96"/>
  <c r="I97"/>
  <c r="I98"/>
  <c r="I99"/>
  <c r="I100"/>
  <c r="I101"/>
  <c r="I102"/>
  <c r="I103"/>
  <c r="I104"/>
  <c r="I105"/>
  <c r="I110"/>
  <c r="I111"/>
  <c r="I112"/>
  <c r="I113"/>
  <c r="I114"/>
  <c r="I115"/>
  <c r="I116"/>
  <c r="I117"/>
  <c r="I118"/>
  <c r="I119"/>
  <c r="I120"/>
  <c r="I121"/>
  <c r="I126"/>
  <c r="I127"/>
  <c r="I128"/>
  <c r="I129"/>
  <c r="I130"/>
  <c r="I131"/>
  <c r="I132"/>
  <c r="I133"/>
  <c r="I134"/>
  <c r="I135"/>
  <c r="I136"/>
  <c r="I137"/>
  <c r="I142"/>
  <c r="I143"/>
  <c r="I144"/>
  <c r="I145"/>
  <c r="I146"/>
  <c r="I147"/>
  <c r="I148"/>
  <c r="I149"/>
  <c r="I150"/>
  <c r="I151"/>
  <c r="I152"/>
  <c r="I153"/>
  <c r="I158"/>
  <c r="I159"/>
  <c r="I160"/>
  <c r="I161"/>
  <c r="I162"/>
  <c r="I163"/>
  <c r="I164"/>
  <c r="I165"/>
  <c r="I166"/>
  <c r="I167"/>
  <c r="I168"/>
  <c r="I169"/>
  <c r="I174"/>
  <c r="I175"/>
  <c r="I176"/>
  <c r="I177"/>
  <c r="I178"/>
  <c r="I179"/>
  <c r="I180"/>
  <c r="I181"/>
  <c r="I182"/>
  <c r="I183"/>
  <c r="I184"/>
  <c r="I185"/>
  <c r="I190"/>
  <c r="I191"/>
  <c r="I192"/>
  <c r="I193"/>
  <c r="I194"/>
  <c r="I195"/>
  <c r="I196"/>
  <c r="I197"/>
  <c r="I198"/>
  <c r="I199"/>
  <c r="I200"/>
  <c r="I201"/>
  <c r="I206"/>
  <c r="I207"/>
  <c r="I208"/>
  <c r="I209"/>
  <c r="I210"/>
  <c r="I211"/>
  <c r="I212"/>
  <c r="I213"/>
  <c r="I214"/>
  <c r="I215"/>
  <c r="I216"/>
  <c r="I217"/>
  <c r="I222"/>
  <c r="I223"/>
  <c r="I224"/>
  <c r="I225"/>
  <c r="I226"/>
  <c r="I227"/>
  <c r="I228"/>
  <c r="I229"/>
  <c r="I230"/>
  <c r="I231"/>
  <c r="I232"/>
  <c r="I233"/>
  <c r="I238"/>
  <c r="I239"/>
  <c r="I240"/>
  <c r="I241"/>
  <c r="I242"/>
  <c r="I243"/>
  <c r="I244"/>
  <c r="I245"/>
  <c r="I246"/>
  <c r="I247"/>
  <c r="I248"/>
  <c r="I249"/>
  <c r="L266" i="6" l="1"/>
  <c r="K14" i="5"/>
  <c r="J15"/>
  <c r="K15" l="1"/>
  <c r="J16"/>
  <c r="K16" l="1"/>
  <c r="J17"/>
  <c r="K17" l="1"/>
  <c r="J18"/>
  <c r="K18" l="1"/>
  <c r="J19"/>
  <c r="K19" l="1"/>
  <c r="J20"/>
  <c r="J21" l="1"/>
  <c r="K20"/>
  <c r="J22" l="1"/>
  <c r="K21"/>
  <c r="J23" l="1"/>
  <c r="K22"/>
  <c r="K23" l="1"/>
  <c r="J24"/>
  <c r="L25" i="10" l="1"/>
  <c r="M25" s="1"/>
  <c r="L23"/>
  <c r="M23" s="1"/>
  <c r="L21"/>
  <c r="M21" s="1"/>
  <c r="L20"/>
  <c r="M20" s="1"/>
  <c r="L17"/>
  <c r="M17" s="1"/>
  <c r="P20"/>
  <c r="L15"/>
  <c r="M15" s="1"/>
  <c r="L26"/>
  <c r="M26" s="1"/>
  <c r="L24"/>
  <c r="M24" s="1"/>
  <c r="L22"/>
  <c r="M22" s="1"/>
  <c r="L19"/>
  <c r="M19" s="1"/>
  <c r="L18"/>
  <c r="M18" s="1"/>
  <c r="L16"/>
  <c r="M16" s="1"/>
  <c r="J25" i="5"/>
  <c r="K24"/>
  <c r="L27" i="10" l="1"/>
  <c r="L26" i="6"/>
  <c r="K25" i="5"/>
  <c r="J26" s="1"/>
  <c r="J30" s="1"/>
  <c r="L41" i="10" l="1"/>
  <c r="M41" s="1"/>
  <c r="L39"/>
  <c r="M39" s="1"/>
  <c r="L37"/>
  <c r="M37" s="1"/>
  <c r="L36"/>
  <c r="M36" s="1"/>
  <c r="L33"/>
  <c r="M33" s="1"/>
  <c r="P36"/>
  <c r="L31"/>
  <c r="M31" s="1"/>
  <c r="L42"/>
  <c r="M42" s="1"/>
  <c r="L40"/>
  <c r="M40" s="1"/>
  <c r="L38"/>
  <c r="M38" s="1"/>
  <c r="L35"/>
  <c r="M35" s="1"/>
  <c r="L34"/>
  <c r="M34" s="1"/>
  <c r="L32"/>
  <c r="M32" s="1"/>
  <c r="L40" i="6"/>
  <c r="M40" s="1"/>
  <c r="L36"/>
  <c r="M36" s="1"/>
  <c r="L32"/>
  <c r="M32" s="1"/>
  <c r="L41"/>
  <c r="M41" s="1"/>
  <c r="L37"/>
  <c r="M37" s="1"/>
  <c r="L33"/>
  <c r="M33" s="1"/>
  <c r="L38"/>
  <c r="M38" s="1"/>
  <c r="L34"/>
  <c r="M34" s="1"/>
  <c r="L30"/>
  <c r="M30" s="1"/>
  <c r="L39"/>
  <c r="M39" s="1"/>
  <c r="L35"/>
  <c r="M35" s="1"/>
  <c r="L31"/>
  <c r="M31" s="1"/>
  <c r="F45"/>
  <c r="K30" i="5"/>
  <c r="J31"/>
  <c r="L43" i="10" l="1"/>
  <c r="J32" i="5"/>
  <c r="K31"/>
  <c r="L57" i="10" l="1"/>
  <c r="M57" s="1"/>
  <c r="L55"/>
  <c r="M55" s="1"/>
  <c r="L53"/>
  <c r="M53" s="1"/>
  <c r="L52"/>
  <c r="M52" s="1"/>
  <c r="L49"/>
  <c r="M49" s="1"/>
  <c r="P52"/>
  <c r="L47"/>
  <c r="M47" s="1"/>
  <c r="L58"/>
  <c r="M58" s="1"/>
  <c r="L56"/>
  <c r="M56" s="1"/>
  <c r="L54"/>
  <c r="M54" s="1"/>
  <c r="L51"/>
  <c r="M51" s="1"/>
  <c r="L50"/>
  <c r="M50" s="1"/>
  <c r="L48"/>
  <c r="M48" s="1"/>
  <c r="K32" i="5"/>
  <c r="J33"/>
  <c r="L59" i="10" l="1"/>
  <c r="K33" i="5"/>
  <c r="J34"/>
  <c r="L73" i="10" l="1"/>
  <c r="M73" s="1"/>
  <c r="L71"/>
  <c r="M71" s="1"/>
  <c r="L69"/>
  <c r="M69" s="1"/>
  <c r="L68"/>
  <c r="M68" s="1"/>
  <c r="L65"/>
  <c r="M65" s="1"/>
  <c r="P68"/>
  <c r="L63"/>
  <c r="M63" s="1"/>
  <c r="L74"/>
  <c r="M74" s="1"/>
  <c r="L72"/>
  <c r="M72" s="1"/>
  <c r="L70"/>
  <c r="M70" s="1"/>
  <c r="L67"/>
  <c r="M67" s="1"/>
  <c r="L66"/>
  <c r="M66" s="1"/>
  <c r="L64"/>
  <c r="M64" s="1"/>
  <c r="K34" i="5"/>
  <c r="J35"/>
  <c r="L75" i="10" l="1"/>
  <c r="K35" i="5"/>
  <c r="J36"/>
  <c r="L89" i="10" l="1"/>
  <c r="M89" s="1"/>
  <c r="L87"/>
  <c r="M87" s="1"/>
  <c r="L85"/>
  <c r="M85" s="1"/>
  <c r="L84"/>
  <c r="M84" s="1"/>
  <c r="L81"/>
  <c r="M81" s="1"/>
  <c r="P84"/>
  <c r="L79"/>
  <c r="M79" s="1"/>
  <c r="L90"/>
  <c r="M90" s="1"/>
  <c r="L88"/>
  <c r="M88" s="1"/>
  <c r="L86"/>
  <c r="M86" s="1"/>
  <c r="L83"/>
  <c r="M83" s="1"/>
  <c r="L82"/>
  <c r="M82" s="1"/>
  <c r="L80"/>
  <c r="M80" s="1"/>
  <c r="K36" i="5"/>
  <c r="J37"/>
  <c r="L91" i="10" l="1"/>
  <c r="K37" i="5"/>
  <c r="J38"/>
  <c r="F128" i="10" l="1"/>
  <c r="F96"/>
  <c r="F160"/>
  <c r="P164" s="1"/>
  <c r="F144"/>
  <c r="F112"/>
  <c r="L105"/>
  <c r="M105" s="1"/>
  <c r="L103"/>
  <c r="M103" s="1"/>
  <c r="L101"/>
  <c r="M101" s="1"/>
  <c r="L100"/>
  <c r="M100" s="1"/>
  <c r="L97"/>
  <c r="M97" s="1"/>
  <c r="P100"/>
  <c r="L95"/>
  <c r="M95" s="1"/>
  <c r="L106"/>
  <c r="M106" s="1"/>
  <c r="L104"/>
  <c r="M104" s="1"/>
  <c r="L102"/>
  <c r="M102" s="1"/>
  <c r="L99"/>
  <c r="M99" s="1"/>
  <c r="L98"/>
  <c r="M98" s="1"/>
  <c r="L96"/>
  <c r="M96" s="1"/>
  <c r="K38" i="5"/>
  <c r="J39"/>
  <c r="L107" i="10" l="1"/>
  <c r="J40" i="5"/>
  <c r="K39"/>
  <c r="L121" i="10" l="1"/>
  <c r="M121" s="1"/>
  <c r="L119"/>
  <c r="M119" s="1"/>
  <c r="L117"/>
  <c r="M117" s="1"/>
  <c r="L116"/>
  <c r="M116" s="1"/>
  <c r="L113"/>
  <c r="M113" s="1"/>
  <c r="P116"/>
  <c r="L111"/>
  <c r="M111" s="1"/>
  <c r="L122"/>
  <c r="M122" s="1"/>
  <c r="L120"/>
  <c r="M120" s="1"/>
  <c r="L118"/>
  <c r="M118" s="1"/>
  <c r="L115"/>
  <c r="M115" s="1"/>
  <c r="L114"/>
  <c r="M114" s="1"/>
  <c r="L112"/>
  <c r="M112" s="1"/>
  <c r="J41" i="5"/>
  <c r="K40"/>
  <c r="L123" i="10" l="1"/>
  <c r="K41" i="5"/>
  <c r="J42" s="1"/>
  <c r="J46" s="1"/>
  <c r="L137" i="10" l="1"/>
  <c r="M137" s="1"/>
  <c r="L135"/>
  <c r="M135" s="1"/>
  <c r="L133"/>
  <c r="M133" s="1"/>
  <c r="L132"/>
  <c r="M132" s="1"/>
  <c r="L129"/>
  <c r="M129" s="1"/>
  <c r="P132"/>
  <c r="L127"/>
  <c r="M127" s="1"/>
  <c r="L138"/>
  <c r="M138" s="1"/>
  <c r="L136"/>
  <c r="M136" s="1"/>
  <c r="L134"/>
  <c r="M134" s="1"/>
  <c r="L131"/>
  <c r="M131" s="1"/>
  <c r="L130"/>
  <c r="M130" s="1"/>
  <c r="L128"/>
  <c r="M128" s="1"/>
  <c r="L42" i="6"/>
  <c r="K46" i="5"/>
  <c r="J47"/>
  <c r="L139" i="10" l="1"/>
  <c r="L57" i="6"/>
  <c r="M57" s="1"/>
  <c r="L55"/>
  <c r="M55" s="1"/>
  <c r="L53"/>
  <c r="M53" s="1"/>
  <c r="L51"/>
  <c r="M51" s="1"/>
  <c r="L49"/>
  <c r="M49" s="1"/>
  <c r="L47"/>
  <c r="M47" s="1"/>
  <c r="L56"/>
  <c r="M56" s="1"/>
  <c r="L54"/>
  <c r="M54" s="1"/>
  <c r="L52"/>
  <c r="M52" s="1"/>
  <c r="L50"/>
  <c r="M50" s="1"/>
  <c r="L48"/>
  <c r="M48" s="1"/>
  <c r="L46"/>
  <c r="M46" s="1"/>
  <c r="F61"/>
  <c r="J48" i="5"/>
  <c r="K47"/>
  <c r="L153" i="10" l="1"/>
  <c r="M153" s="1"/>
  <c r="L151"/>
  <c r="M151" s="1"/>
  <c r="L149"/>
  <c r="M149" s="1"/>
  <c r="L148"/>
  <c r="M148" s="1"/>
  <c r="L145"/>
  <c r="M145" s="1"/>
  <c r="P148"/>
  <c r="L143"/>
  <c r="M143" s="1"/>
  <c r="L154"/>
  <c r="M154" s="1"/>
  <c r="L152"/>
  <c r="M152" s="1"/>
  <c r="L150"/>
  <c r="M150" s="1"/>
  <c r="L147"/>
  <c r="M147" s="1"/>
  <c r="L146"/>
  <c r="M146" s="1"/>
  <c r="L144"/>
  <c r="M144" s="1"/>
  <c r="K48" i="5"/>
  <c r="J49"/>
  <c r="L155" i="10" l="1"/>
  <c r="J50" i="5"/>
  <c r="K49"/>
  <c r="L169" i="10" l="1"/>
  <c r="M169" s="1"/>
  <c r="L167"/>
  <c r="M167" s="1"/>
  <c r="L165"/>
  <c r="M165" s="1"/>
  <c r="L163"/>
  <c r="M163" s="1"/>
  <c r="L161"/>
  <c r="M161" s="1"/>
  <c r="L159"/>
  <c r="M159" s="1"/>
  <c r="L170"/>
  <c r="M170" s="1"/>
  <c r="L168"/>
  <c r="M168" s="1"/>
  <c r="L166"/>
  <c r="M166" s="1"/>
  <c r="L164"/>
  <c r="M164" s="1"/>
  <c r="L162"/>
  <c r="M162" s="1"/>
  <c r="L160"/>
  <c r="M160" s="1"/>
  <c r="K50" i="5"/>
  <c r="J51"/>
  <c r="L171" i="10" l="1"/>
  <c r="J52" i="5"/>
  <c r="K51"/>
  <c r="K52" l="1"/>
  <c r="J53"/>
  <c r="J54" l="1"/>
  <c r="K53"/>
  <c r="K54" l="1"/>
  <c r="J55"/>
  <c r="J56" l="1"/>
  <c r="K55"/>
  <c r="J57" l="1"/>
  <c r="K56"/>
  <c r="K57" l="1"/>
  <c r="J58" s="1"/>
  <c r="J62" s="1"/>
  <c r="J63" l="1"/>
  <c r="K62"/>
  <c r="L58" i="6" l="1"/>
  <c r="J64" i="5"/>
  <c r="K63"/>
  <c r="L73" i="6" l="1"/>
  <c r="M73" s="1"/>
  <c r="L71"/>
  <c r="M71" s="1"/>
  <c r="L69"/>
  <c r="M69" s="1"/>
  <c r="L67"/>
  <c r="M67" s="1"/>
  <c r="L65"/>
  <c r="M65" s="1"/>
  <c r="L63"/>
  <c r="M63" s="1"/>
  <c r="L72"/>
  <c r="M72" s="1"/>
  <c r="L70"/>
  <c r="M70" s="1"/>
  <c r="L68"/>
  <c r="M68" s="1"/>
  <c r="L66"/>
  <c r="M66" s="1"/>
  <c r="L64"/>
  <c r="M64" s="1"/>
  <c r="L62"/>
  <c r="M62" s="1"/>
  <c r="F77"/>
  <c r="J65" i="5"/>
  <c r="K64"/>
  <c r="K65" l="1"/>
  <c r="J66"/>
  <c r="K66" l="1"/>
  <c r="J67"/>
  <c r="K67" l="1"/>
  <c r="J68"/>
  <c r="K68" l="1"/>
  <c r="J69"/>
  <c r="K69" l="1"/>
  <c r="J70"/>
  <c r="K70" l="1"/>
  <c r="J71"/>
  <c r="K71" l="1"/>
  <c r="J72"/>
  <c r="K72" l="1"/>
  <c r="J73"/>
  <c r="K73" l="1"/>
  <c r="J74" s="1"/>
  <c r="J78" s="1"/>
  <c r="J79" l="1"/>
  <c r="K78"/>
  <c r="J80" l="1"/>
  <c r="K79"/>
  <c r="L74" i="6" l="1"/>
  <c r="J81" i="5"/>
  <c r="K80"/>
  <c r="L89" i="6" l="1"/>
  <c r="M89" s="1"/>
  <c r="L87"/>
  <c r="M87" s="1"/>
  <c r="L85"/>
  <c r="M85" s="1"/>
  <c r="L83"/>
  <c r="M83" s="1"/>
  <c r="L81"/>
  <c r="M81" s="1"/>
  <c r="L79"/>
  <c r="M79" s="1"/>
  <c r="L88"/>
  <c r="M88" s="1"/>
  <c r="L86"/>
  <c r="M86" s="1"/>
  <c r="L84"/>
  <c r="M84" s="1"/>
  <c r="L82"/>
  <c r="M82" s="1"/>
  <c r="L80"/>
  <c r="M80" s="1"/>
  <c r="L78"/>
  <c r="M78" s="1"/>
  <c r="F93"/>
  <c r="K81" i="5"/>
  <c r="J82"/>
  <c r="J83" l="1"/>
  <c r="K82"/>
  <c r="K83" l="1"/>
  <c r="J84"/>
  <c r="K84" l="1"/>
  <c r="J85"/>
  <c r="J86" l="1"/>
  <c r="K85"/>
  <c r="J87" l="1"/>
  <c r="K86"/>
  <c r="K87" l="1"/>
  <c r="J88"/>
  <c r="K88" l="1"/>
  <c r="J89"/>
  <c r="K89" l="1"/>
  <c r="J90" s="1"/>
  <c r="J94" s="1"/>
  <c r="K94" l="1"/>
  <c r="J95"/>
  <c r="K95" l="1"/>
  <c r="J96"/>
  <c r="K96" l="1"/>
  <c r="J97"/>
  <c r="L90" i="6" l="1"/>
  <c r="K97" i="5"/>
  <c r="J98"/>
  <c r="L105" i="6" l="1"/>
  <c r="M105" s="1"/>
  <c r="L103"/>
  <c r="M103" s="1"/>
  <c r="L101"/>
  <c r="M101" s="1"/>
  <c r="L99"/>
  <c r="M99" s="1"/>
  <c r="L97"/>
  <c r="M97" s="1"/>
  <c r="L95"/>
  <c r="M95" s="1"/>
  <c r="L104"/>
  <c r="M104" s="1"/>
  <c r="L102"/>
  <c r="M102" s="1"/>
  <c r="L100"/>
  <c r="M100" s="1"/>
  <c r="L98"/>
  <c r="M98" s="1"/>
  <c r="L96"/>
  <c r="M96" s="1"/>
  <c r="L94"/>
  <c r="M94" s="1"/>
  <c r="K98" i="5"/>
  <c r="J99"/>
  <c r="K99" l="1"/>
  <c r="J100"/>
  <c r="K100" l="1"/>
  <c r="J101"/>
  <c r="K101" l="1"/>
  <c r="J102"/>
  <c r="K102" l="1"/>
  <c r="J103"/>
  <c r="K103" l="1"/>
  <c r="J104"/>
  <c r="K104" l="1"/>
  <c r="J105"/>
  <c r="K105" l="1"/>
  <c r="J106" s="1"/>
  <c r="J110" s="1"/>
  <c r="J111" l="1"/>
  <c r="K110"/>
  <c r="J112" l="1"/>
  <c r="K111"/>
  <c r="J113" l="1"/>
  <c r="K112"/>
  <c r="L106" i="6" l="1"/>
  <c r="K113" i="5"/>
  <c r="J114"/>
  <c r="F111" i="6" l="1"/>
  <c r="P115" s="1"/>
  <c r="L121"/>
  <c r="M121" s="1"/>
  <c r="L119"/>
  <c r="M119" s="1"/>
  <c r="L117"/>
  <c r="M117" s="1"/>
  <c r="L115"/>
  <c r="M115" s="1"/>
  <c r="L113"/>
  <c r="M113" s="1"/>
  <c r="L111"/>
  <c r="M111" s="1"/>
  <c r="L120"/>
  <c r="M120" s="1"/>
  <c r="L118"/>
  <c r="M118" s="1"/>
  <c r="L116"/>
  <c r="M116" s="1"/>
  <c r="L114"/>
  <c r="M114" s="1"/>
  <c r="L112"/>
  <c r="M112" s="1"/>
  <c r="L110"/>
  <c r="M110" s="1"/>
  <c r="K114" i="5"/>
  <c r="J115"/>
  <c r="J116" l="1"/>
  <c r="K115"/>
  <c r="J117" l="1"/>
  <c r="K116"/>
  <c r="K117" l="1"/>
  <c r="J118"/>
  <c r="K118" l="1"/>
  <c r="J119"/>
  <c r="J120" l="1"/>
  <c r="K119"/>
  <c r="J121" l="1"/>
  <c r="K120"/>
  <c r="K121" l="1"/>
  <c r="J122" s="1"/>
  <c r="J126" s="1"/>
  <c r="J127" l="1"/>
  <c r="K126"/>
  <c r="J128" l="1"/>
  <c r="K127"/>
  <c r="J129" l="1"/>
  <c r="K128"/>
  <c r="L122" i="6" l="1"/>
  <c r="J130" i="5"/>
  <c r="K129"/>
  <c r="F127" i="6" l="1"/>
  <c r="P131" s="1"/>
  <c r="L137"/>
  <c r="M137" s="1"/>
  <c r="L135"/>
  <c r="M135" s="1"/>
  <c r="L133"/>
  <c r="M133" s="1"/>
  <c r="L131"/>
  <c r="M131" s="1"/>
  <c r="L129"/>
  <c r="M129" s="1"/>
  <c r="L127"/>
  <c r="M127" s="1"/>
  <c r="L136"/>
  <c r="M136" s="1"/>
  <c r="L134"/>
  <c r="M134" s="1"/>
  <c r="L132"/>
  <c r="M132" s="1"/>
  <c r="L130"/>
  <c r="M130" s="1"/>
  <c r="L128"/>
  <c r="M128" s="1"/>
  <c r="L126"/>
  <c r="M126" s="1"/>
  <c r="J131" i="5"/>
  <c r="K130"/>
  <c r="J132" l="1"/>
  <c r="K131"/>
  <c r="J133" l="1"/>
  <c r="K132"/>
  <c r="J134" l="1"/>
  <c r="K133"/>
  <c r="J135" l="1"/>
  <c r="K134"/>
  <c r="J136" l="1"/>
  <c r="K135"/>
  <c r="J137" l="1"/>
  <c r="K136"/>
  <c r="K137" l="1"/>
  <c r="J138" s="1"/>
  <c r="J142" s="1"/>
  <c r="J143" l="1"/>
  <c r="K142"/>
  <c r="K143" l="1"/>
  <c r="J144"/>
  <c r="J145" l="1"/>
  <c r="K144"/>
  <c r="L138" i="6" l="1"/>
  <c r="K145" i="5"/>
  <c r="J146"/>
  <c r="L153" i="6" l="1"/>
  <c r="M153" s="1"/>
  <c r="L151"/>
  <c r="M151" s="1"/>
  <c r="L149"/>
  <c r="M149" s="1"/>
  <c r="L147"/>
  <c r="M147" s="1"/>
  <c r="L145"/>
  <c r="M145" s="1"/>
  <c r="L143"/>
  <c r="M143" s="1"/>
  <c r="L152"/>
  <c r="M152" s="1"/>
  <c r="L150"/>
  <c r="M150" s="1"/>
  <c r="L148"/>
  <c r="M148" s="1"/>
  <c r="L146"/>
  <c r="M146" s="1"/>
  <c r="L144"/>
  <c r="M144" s="1"/>
  <c r="L142"/>
  <c r="M142" s="1"/>
  <c r="F143"/>
  <c r="P147" s="1"/>
  <c r="J147" i="5"/>
  <c r="K146"/>
  <c r="K147" l="1"/>
  <c r="J148"/>
  <c r="K148" l="1"/>
  <c r="J149"/>
  <c r="K149" l="1"/>
  <c r="J150"/>
  <c r="J151" l="1"/>
  <c r="K150"/>
  <c r="K151" l="1"/>
  <c r="J152"/>
  <c r="K152" l="1"/>
  <c r="J153"/>
  <c r="K153" l="1"/>
  <c r="J154" s="1"/>
  <c r="J158" s="1"/>
  <c r="J159" l="1"/>
  <c r="K158"/>
  <c r="J160" l="1"/>
  <c r="K159"/>
  <c r="J161" l="1"/>
  <c r="K160"/>
  <c r="L154" i="6" l="1"/>
  <c r="J162" i="5"/>
  <c r="K161"/>
  <c r="L169" i="6" l="1"/>
  <c r="M169" s="1"/>
  <c r="L167"/>
  <c r="M167" s="1"/>
  <c r="L165"/>
  <c r="M165" s="1"/>
  <c r="L163"/>
  <c r="M163" s="1"/>
  <c r="L161"/>
  <c r="M161" s="1"/>
  <c r="L159"/>
  <c r="M159" s="1"/>
  <c r="L168"/>
  <c r="M168" s="1"/>
  <c r="L166"/>
  <c r="M166" s="1"/>
  <c r="L164"/>
  <c r="M164" s="1"/>
  <c r="L162"/>
  <c r="M162" s="1"/>
  <c r="L160"/>
  <c r="M160" s="1"/>
  <c r="L158"/>
  <c r="M158" s="1"/>
  <c r="F159"/>
  <c r="P163" s="1"/>
  <c r="J163" i="5"/>
  <c r="K162"/>
  <c r="K163" l="1"/>
  <c r="J164"/>
  <c r="J165" l="1"/>
  <c r="K164"/>
  <c r="J166" l="1"/>
  <c r="K165"/>
  <c r="J167" l="1"/>
  <c r="K166"/>
  <c r="J168" l="1"/>
  <c r="K167"/>
  <c r="J169" l="1"/>
  <c r="K168"/>
  <c r="K169" l="1"/>
  <c r="J170" s="1"/>
  <c r="J174" s="1"/>
  <c r="J175" l="1"/>
  <c r="K174"/>
  <c r="J176" l="1"/>
  <c r="K175"/>
  <c r="J177" l="1"/>
  <c r="K176"/>
  <c r="L170" i="6" l="1"/>
  <c r="J178" i="5"/>
  <c r="K177"/>
  <c r="K178" l="1"/>
  <c r="J179"/>
  <c r="F175" i="6" l="1"/>
  <c r="P179" s="1"/>
  <c r="L185"/>
  <c r="M185" s="1"/>
  <c r="L183"/>
  <c r="M183" s="1"/>
  <c r="L181"/>
  <c r="M181" s="1"/>
  <c r="L179"/>
  <c r="M179" s="1"/>
  <c r="L177"/>
  <c r="M177" s="1"/>
  <c r="L175"/>
  <c r="M175" s="1"/>
  <c r="L184"/>
  <c r="M184" s="1"/>
  <c r="L182"/>
  <c r="M182" s="1"/>
  <c r="L180"/>
  <c r="M180" s="1"/>
  <c r="L178"/>
  <c r="M178" s="1"/>
  <c r="L176"/>
  <c r="M176" s="1"/>
  <c r="L174"/>
  <c r="M174" s="1"/>
  <c r="J180" i="5"/>
  <c r="K179"/>
  <c r="J181" l="1"/>
  <c r="K180"/>
  <c r="J182" l="1"/>
  <c r="K181"/>
  <c r="J183" l="1"/>
  <c r="K182"/>
  <c r="J184" l="1"/>
  <c r="K183"/>
  <c r="J185" l="1"/>
  <c r="K184"/>
  <c r="K185" l="1"/>
  <c r="J186" s="1"/>
  <c r="J190" s="1"/>
  <c r="J191" l="1"/>
  <c r="K190"/>
  <c r="J192" l="1"/>
  <c r="K191"/>
  <c r="J193" l="1"/>
  <c r="K192"/>
  <c r="J194" l="1"/>
  <c r="K193"/>
  <c r="L186" i="6" l="1"/>
  <c r="K194" i="5"/>
  <c r="J195"/>
  <c r="F191" i="6" l="1"/>
  <c r="P195" s="1"/>
  <c r="L201"/>
  <c r="M201" s="1"/>
  <c r="L199"/>
  <c r="M199" s="1"/>
  <c r="L197"/>
  <c r="M197" s="1"/>
  <c r="L195"/>
  <c r="M195" s="1"/>
  <c r="L193"/>
  <c r="M193" s="1"/>
  <c r="L191"/>
  <c r="M191" s="1"/>
  <c r="L200"/>
  <c r="M200" s="1"/>
  <c r="L198"/>
  <c r="M198" s="1"/>
  <c r="L196"/>
  <c r="M196" s="1"/>
  <c r="L194"/>
  <c r="M194" s="1"/>
  <c r="L192"/>
  <c r="M192" s="1"/>
  <c r="L190"/>
  <c r="M190" s="1"/>
  <c r="J196" i="5"/>
  <c r="K195"/>
  <c r="J197" l="1"/>
  <c r="K196"/>
  <c r="J198" l="1"/>
  <c r="K197"/>
  <c r="J199" l="1"/>
  <c r="K198"/>
  <c r="J200" l="1"/>
  <c r="K199"/>
  <c r="K200" l="1"/>
  <c r="J201"/>
  <c r="K201" l="1"/>
  <c r="J202" s="1"/>
  <c r="J206" s="1"/>
  <c r="J207" l="1"/>
  <c r="K206"/>
  <c r="J208" l="1"/>
  <c r="K207"/>
  <c r="J209" l="1"/>
  <c r="K208"/>
  <c r="J210" l="1"/>
  <c r="K209"/>
  <c r="L202" i="6" l="1"/>
  <c r="J211" i="5"/>
  <c r="K210"/>
  <c r="F207" i="6" l="1"/>
  <c r="P211" s="1"/>
  <c r="L217"/>
  <c r="M217" s="1"/>
  <c r="L215"/>
  <c r="M215" s="1"/>
  <c r="L213"/>
  <c r="M213" s="1"/>
  <c r="L211"/>
  <c r="M211" s="1"/>
  <c r="L209"/>
  <c r="M209" s="1"/>
  <c r="L207"/>
  <c r="M207" s="1"/>
  <c r="L216"/>
  <c r="M216" s="1"/>
  <c r="L214"/>
  <c r="M214" s="1"/>
  <c r="L212"/>
  <c r="M212" s="1"/>
  <c r="L210"/>
  <c r="M210" s="1"/>
  <c r="L208"/>
  <c r="M208" s="1"/>
  <c r="L206"/>
  <c r="M206" s="1"/>
  <c r="J212" i="5"/>
  <c r="K211"/>
  <c r="J213" l="1"/>
  <c r="K212"/>
  <c r="K213" l="1"/>
  <c r="J214"/>
  <c r="J215" l="1"/>
  <c r="K214"/>
  <c r="J216" l="1"/>
  <c r="K215"/>
  <c r="J217" l="1"/>
  <c r="K216"/>
  <c r="K217" l="1"/>
  <c r="J218" s="1"/>
  <c r="J222" s="1"/>
  <c r="J223" l="1"/>
  <c r="K222"/>
  <c r="J224" l="1"/>
  <c r="K223"/>
  <c r="J225" l="1"/>
  <c r="K224"/>
  <c r="K225" l="1"/>
  <c r="J226"/>
  <c r="L218" i="6" l="1"/>
  <c r="J227" i="5"/>
  <c r="K226"/>
  <c r="F223" i="6" l="1"/>
  <c r="P227" s="1"/>
  <c r="L232"/>
  <c r="M232" s="1"/>
  <c r="L230"/>
  <c r="M230" s="1"/>
  <c r="L228"/>
  <c r="M228" s="1"/>
  <c r="L226"/>
  <c r="M226" s="1"/>
  <c r="L224"/>
  <c r="M224" s="1"/>
  <c r="L222"/>
  <c r="M222" s="1"/>
  <c r="L233"/>
  <c r="M233" s="1"/>
  <c r="L231"/>
  <c r="M231" s="1"/>
  <c r="L229"/>
  <c r="M229" s="1"/>
  <c r="L227"/>
  <c r="M227" s="1"/>
  <c r="L225"/>
  <c r="M225" s="1"/>
  <c r="L223"/>
  <c r="M223" s="1"/>
  <c r="J228" i="5"/>
  <c r="K227"/>
  <c r="J229" l="1"/>
  <c r="K228"/>
  <c r="J230" l="1"/>
  <c r="K229"/>
  <c r="J231" l="1"/>
  <c r="K230"/>
  <c r="J232" l="1"/>
  <c r="K231"/>
  <c r="J233" l="1"/>
  <c r="K232"/>
  <c r="K233" l="1"/>
  <c r="J234" s="1"/>
  <c r="J238" s="1"/>
  <c r="J239" l="1"/>
  <c r="K238"/>
  <c r="K239" l="1"/>
  <c r="J240"/>
  <c r="J241" l="1"/>
  <c r="K240"/>
  <c r="J242" l="1"/>
  <c r="K241"/>
  <c r="L234" i="6" l="1"/>
  <c r="J243" i="5"/>
  <c r="K242"/>
  <c r="F239" i="6" l="1"/>
  <c r="P243" s="1"/>
  <c r="L249"/>
  <c r="M249" s="1"/>
  <c r="L247"/>
  <c r="M247" s="1"/>
  <c r="L245"/>
  <c r="M245" s="1"/>
  <c r="L243"/>
  <c r="M243" s="1"/>
  <c r="L241"/>
  <c r="M241" s="1"/>
  <c r="L239"/>
  <c r="M239" s="1"/>
  <c r="L248"/>
  <c r="M248" s="1"/>
  <c r="L246"/>
  <c r="M246" s="1"/>
  <c r="L244"/>
  <c r="M244" s="1"/>
  <c r="L242"/>
  <c r="M242" s="1"/>
  <c r="L240"/>
  <c r="M240" s="1"/>
  <c r="L238"/>
  <c r="M238" s="1"/>
  <c r="K243" i="5"/>
  <c r="J244"/>
  <c r="J245" l="1"/>
  <c r="K244"/>
  <c r="J246" l="1"/>
  <c r="K245"/>
  <c r="J247" l="1"/>
  <c r="K246"/>
  <c r="J248" l="1"/>
  <c r="K247"/>
  <c r="K248" l="1"/>
  <c r="J249"/>
  <c r="K249" l="1"/>
  <c r="J250" s="1"/>
  <c r="N9" s="1"/>
  <c r="L250" i="6" l="1"/>
</calcChain>
</file>

<file path=xl/comments1.xml><?xml version="1.0" encoding="utf-8"?>
<comments xmlns="http://schemas.openxmlformats.org/spreadsheetml/2006/main">
  <authors>
    <author>Karthikeyan Chellappa</author>
  </authors>
  <commentList>
    <comment ref="K9" authorId="0">
      <text>
        <r>
          <rPr>
            <b/>
            <sz val="9"/>
            <color indexed="81"/>
            <rFont val="Tahoma"/>
            <family val="2"/>
          </rPr>
          <t>Karthikeyan Chellappa:</t>
        </r>
        <r>
          <rPr>
            <sz val="9"/>
            <color indexed="81"/>
            <rFont val="Tahoma"/>
            <family val="2"/>
          </rPr>
          <t xml:space="preserve">
Assuming that interest rate is fixed for the entire tenure</t>
        </r>
      </text>
    </comment>
  </commentList>
</comments>
</file>

<file path=xl/sharedStrings.xml><?xml version="1.0" encoding="utf-8"?>
<sst xmlns="http://schemas.openxmlformats.org/spreadsheetml/2006/main" count="1206" uniqueCount="83">
  <si>
    <t>Balance</t>
  </si>
  <si>
    <t>Month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</si>
  <si>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</si>
  <si>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</si>
  <si>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</si>
  <si>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</si>
  <si>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</si>
  <si>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</si>
  <si>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</si>
  <si>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</si>
  <si>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</si>
  <si>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</si>
  <si>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</si>
  <si>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</si>
  <si>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Deposit</t>
  </si>
  <si>
    <t>Interest</t>
  </si>
  <si>
    <t>Year 1</t>
  </si>
  <si>
    <t>Year 2</t>
  </si>
  <si>
    <t>Year 3</t>
  </si>
  <si>
    <t>Year 4</t>
  </si>
  <si>
    <t>Year 5</t>
  </si>
  <si>
    <t>Year End Balance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</si>
  <si>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</si>
  <si>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</si>
  <si>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</si>
  <si>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</si>
  <si>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</si>
  <si>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</si>
  <si>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</si>
  <si>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</si>
  <si>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</si>
  <si>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</si>
  <si>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Input Parameters</t>
  </si>
  <si>
    <t>Investment Frequency</t>
  </si>
  <si>
    <t>Investment Amount</t>
  </si>
  <si>
    <t>Calculations</t>
  </si>
  <si>
    <t>Output Values</t>
  </si>
  <si>
    <t>Maturity Amount</t>
  </si>
  <si>
    <t>PPF Interest Rate</t>
  </si>
  <si>
    <t>Monthly</t>
  </si>
  <si>
    <t>PPF investment limit</t>
  </si>
  <si>
    <t>PPF Tracker</t>
  </si>
  <si>
    <t>Balance on March 31st of current year</t>
  </si>
  <si>
    <t>Set as zero for new accounts</t>
  </si>
  <si>
    <t>Year 1*</t>
  </si>
  <si>
    <t>* For existing account, "Year 1"</t>
  </si>
  <si>
    <t>simply refers to first year of tracking</t>
  </si>
  <si>
    <t>PPF Calculator</t>
  </si>
  <si>
    <t>Prepared by: Karthikeyan Chellappa</t>
  </si>
  <si>
    <t>Enter data only in green cells</t>
  </si>
  <si>
    <t>Annual</t>
  </si>
  <si>
    <t>Goal Calculator</t>
  </si>
  <si>
    <t>Determine the fixed investment need to obtain a certina maturity value</t>
  </si>
  <si>
    <t xml:space="preserve">Step 1 </t>
  </si>
  <si>
    <t>Enter maturity value required</t>
  </si>
  <si>
    <t>Step 2</t>
  </si>
  <si>
    <t>Step 3</t>
  </si>
  <si>
    <t>Go to PPF Calculator sheet. Select investment frequency and the interest rate</t>
  </si>
  <si>
    <t>Fixed investment amount for the selected is</t>
  </si>
  <si>
    <t>Quarterly</t>
  </si>
  <si>
    <t>Half-yearly</t>
  </si>
  <si>
    <t>Enter current investment limit</t>
  </si>
  <si>
    <t>Source:</t>
  </si>
  <si>
    <t>http://finotax.com/ppf/calculator</t>
  </si>
  <si>
    <t>Deposited</t>
  </si>
  <si>
    <t>before 5th</t>
  </si>
  <si>
    <t>after 5th</t>
  </si>
  <si>
    <t>Use this sheet to track your PPF if you have extended it at the end of the 15 year period</t>
  </si>
  <si>
    <t>Withdrawal</t>
  </si>
  <si>
    <t>Withdrawal can be made only once in a year</t>
  </si>
  <si>
    <t>Balance at the start of 5Y extension block</t>
  </si>
  <si>
    <t>1st Extension Year 1</t>
  </si>
  <si>
    <t>1st Extension Year 2</t>
  </si>
  <si>
    <t>1st Extension Year 3</t>
  </si>
  <si>
    <t>1st Extension Year 4</t>
  </si>
  <si>
    <t>1st Extension Year 5</t>
  </si>
  <si>
    <t>2nd Extension Year 1</t>
  </si>
  <si>
    <t>2nd Extension Year 2</t>
  </si>
  <si>
    <t>2nd Extension Year 3</t>
  </si>
  <si>
    <t>2nd Extension Year 4</t>
  </si>
  <si>
    <t>2nd Extension Year 5</t>
  </si>
  <si>
    <t>Interest rate</t>
  </si>
  <si>
    <t>Year 16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</si>
</sst>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[$₹-4009]\ #,##0"/>
    <numFmt numFmtId="165" formatCode="_ * #,##0_ ;_ * \-#,##0_ ;_ * &quot;-&quot;??_ ;_ @_ "/>
  </numFmts>
  <fonts count="16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6"/>
      <color indexed="9"/>
      <name val="Calibri"/>
      <family val="2"/>
    </font>
    <font>
      <b/>
      <sz val="12"/>
      <color indexed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8000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2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1" xfId="0" applyBorder="1"/>
    <xf numFmtId="3" fontId="0" fillId="0" borderId="2" xfId="0" applyNumberFormat="1" applyBorder="1"/>
    <xf numFmtId="3" fontId="0" fillId="0" borderId="3" xfId="0" applyNumberFormat="1" applyBorder="1"/>
    <xf numFmtId="0" fontId="1" fillId="0" borderId="4" xfId="0" applyFont="1" applyBorder="1"/>
    <xf numFmtId="0" fontId="1" fillId="0" borderId="5" xfId="0" applyFont="1" applyBorder="1"/>
    <xf numFmtId="3" fontId="1" fillId="0" borderId="5" xfId="0" applyNumberFormat="1" applyFont="1" applyBorder="1"/>
    <xf numFmtId="3" fontId="0" fillId="0" borderId="6" xfId="0" applyNumberFormat="1" applyBorder="1"/>
    <xf numFmtId="0" fontId="0" fillId="0" borderId="4" xfId="0" applyBorder="1"/>
    <xf numFmtId="10" fontId="0" fillId="0" borderId="7" xfId="0" applyNumberFormat="1" applyBorder="1"/>
    <xf numFmtId="0" fontId="0" fillId="0" borderId="8" xfId="0" applyBorder="1"/>
    <xf numFmtId="0" fontId="0" fillId="2" borderId="9" xfId="0" applyFill="1" applyBorder="1" applyAlignment="1" applyProtection="1">
      <alignment horizontal="right"/>
      <protection locked="0"/>
    </xf>
    <xf numFmtId="164" fontId="1" fillId="3" borderId="7" xfId="0" applyNumberFormat="1" applyFont="1" applyFill="1" applyBorder="1"/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4" borderId="0" xfId="0" applyFill="1"/>
    <xf numFmtId="0" fontId="1" fillId="0" borderId="15" xfId="0" applyFont="1" applyBorder="1"/>
    <xf numFmtId="164" fontId="0" fillId="2" borderId="6" xfId="0" applyNumberFormat="1" applyFill="1" applyBorder="1" applyProtection="1">
      <protection locked="0"/>
    </xf>
    <xf numFmtId="0" fontId="0" fillId="0" borderId="16" xfId="0" applyBorder="1"/>
    <xf numFmtId="3" fontId="0" fillId="0" borderId="17" xfId="0" applyNumberFormat="1" applyBorder="1"/>
    <xf numFmtId="0" fontId="1" fillId="0" borderId="18" xfId="0" applyFont="1" applyBorder="1"/>
    <xf numFmtId="0" fontId="1" fillId="0" borderId="19" xfId="0" applyFont="1" applyBorder="1"/>
    <xf numFmtId="3" fontId="0" fillId="5" borderId="20" xfId="0" applyNumberFormat="1" applyFill="1" applyBorder="1"/>
    <xf numFmtId="0" fontId="0" fillId="5" borderId="20" xfId="0" applyFill="1" applyBorder="1"/>
    <xf numFmtId="10" fontId="0" fillId="5" borderId="20" xfId="0" applyNumberFormat="1" applyFill="1" applyBorder="1"/>
    <xf numFmtId="0" fontId="2" fillId="6" borderId="21" xfId="0" applyFont="1" applyFill="1" applyBorder="1" applyAlignment="1">
      <alignment horizontal="center"/>
    </xf>
    <xf numFmtId="0" fontId="0" fillId="0" borderId="22" xfId="0" applyBorder="1" applyAlignment="1"/>
    <xf numFmtId="0" fontId="0" fillId="0" borderId="23" xfId="0" applyBorder="1" applyAlignment="1"/>
    <xf numFmtId="0" fontId="0" fillId="0" borderId="24" xfId="0" applyBorder="1" applyAlignment="1"/>
    <xf numFmtId="2" fontId="0" fillId="5" borderId="25" xfId="0" applyNumberFormat="1" applyFill="1" applyBorder="1"/>
    <xf numFmtId="0" fontId="0" fillId="4" borderId="20" xfId="0" applyFill="1" applyBorder="1"/>
    <xf numFmtId="0" fontId="4" fillId="4" borderId="0" xfId="0" applyFont="1" applyFill="1" applyBorder="1"/>
    <xf numFmtId="0" fontId="4" fillId="7" borderId="0" xfId="0" applyFont="1" applyFill="1" applyBorder="1"/>
    <xf numFmtId="0" fontId="0" fillId="7" borderId="0" xfId="0" applyFill="1" applyBorder="1"/>
    <xf numFmtId="0" fontId="0" fillId="7" borderId="11" xfId="0" applyFill="1" applyBorder="1"/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" fillId="6" borderId="0" xfId="0" applyFont="1" applyFill="1" applyBorder="1"/>
    <xf numFmtId="164" fontId="1" fillId="6" borderId="0" xfId="0" applyNumberFormat="1" applyFont="1" applyFill="1" applyBorder="1"/>
    <xf numFmtId="0" fontId="0" fillId="4" borderId="0" xfId="0" applyFill="1" applyBorder="1"/>
    <xf numFmtId="0" fontId="0" fillId="4" borderId="11" xfId="0" applyFill="1" applyBorder="1"/>
    <xf numFmtId="0" fontId="3" fillId="6" borderId="0" xfId="0" applyFont="1" applyFill="1" applyBorder="1" applyAlignment="1">
      <alignment horizontal="center" vertical="center"/>
    </xf>
    <xf numFmtId="0" fontId="0" fillId="6" borderId="0" xfId="0" applyFill="1" applyBorder="1"/>
    <xf numFmtId="164" fontId="0" fillId="6" borderId="0" xfId="0" applyNumberFormat="1" applyFill="1" applyBorder="1" applyProtection="1">
      <protection locked="0"/>
    </xf>
    <xf numFmtId="0" fontId="0" fillId="5" borderId="0" xfId="0" applyFill="1" applyBorder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/>
    <xf numFmtId="0" fontId="8" fillId="0" borderId="0" xfId="0" applyFont="1" applyFill="1" applyBorder="1"/>
    <xf numFmtId="0" fontId="0" fillId="11" borderId="0" xfId="0" applyFill="1"/>
    <xf numFmtId="165" fontId="0" fillId="10" borderId="0" xfId="1" applyNumberFormat="1" applyFont="1" applyFill="1"/>
    <xf numFmtId="165" fontId="0" fillId="12" borderId="0" xfId="1" applyNumberFormat="1" applyFont="1" applyFill="1"/>
    <xf numFmtId="0" fontId="12" fillId="13" borderId="0" xfId="0" applyFont="1" applyFill="1"/>
    <xf numFmtId="0" fontId="0" fillId="13" borderId="0" xfId="0" applyFill="1"/>
    <xf numFmtId="0" fontId="2" fillId="6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3" fillId="11" borderId="0" xfId="0" applyFont="1" applyFill="1" applyBorder="1" applyAlignment="1">
      <alignment horizontal="center" vertical="center"/>
    </xf>
    <xf numFmtId="0" fontId="0" fillId="11" borderId="0" xfId="0" applyFill="1" applyBorder="1"/>
    <xf numFmtId="0" fontId="13" fillId="11" borderId="0" xfId="0" applyFont="1" applyFill="1" applyBorder="1"/>
    <xf numFmtId="0" fontId="1" fillId="0" borderId="34" xfId="0" applyFont="1" applyBorder="1"/>
    <xf numFmtId="0" fontId="13" fillId="10" borderId="20" xfId="0" applyFont="1" applyFill="1" applyBorder="1"/>
    <xf numFmtId="0" fontId="1" fillId="0" borderId="0" xfId="0" applyFont="1" applyBorder="1"/>
    <xf numFmtId="3" fontId="0" fillId="0" borderId="0" xfId="0" applyNumberFormat="1" applyBorder="1"/>
    <xf numFmtId="0" fontId="1" fillId="0" borderId="0" xfId="0" applyFont="1" applyBorder="1" applyAlignment="1">
      <alignment horizontal="center"/>
    </xf>
    <xf numFmtId="0" fontId="0" fillId="13" borderId="0" xfId="0" applyFill="1" applyBorder="1"/>
    <xf numFmtId="0" fontId="0" fillId="11" borderId="10" xfId="0" applyFill="1" applyBorder="1"/>
    <xf numFmtId="3" fontId="0" fillId="0" borderId="36" xfId="0" applyNumberFormat="1" applyBorder="1"/>
    <xf numFmtId="3" fontId="0" fillId="0" borderId="37" xfId="0" applyNumberFormat="1" applyBorder="1"/>
    <xf numFmtId="0" fontId="14" fillId="13" borderId="0" xfId="0" applyFont="1" applyFill="1" applyBorder="1"/>
    <xf numFmtId="0" fontId="0" fillId="13" borderId="11" xfId="0" applyFill="1" applyBorder="1"/>
    <xf numFmtId="0" fontId="1" fillId="0" borderId="38" xfId="0" applyFont="1" applyBorder="1"/>
    <xf numFmtId="0" fontId="0" fillId="10" borderId="20" xfId="0" applyFill="1" applyBorder="1"/>
    <xf numFmtId="0" fontId="0" fillId="5" borderId="39" xfId="0" applyFill="1" applyBorder="1"/>
    <xf numFmtId="0" fontId="8" fillId="0" borderId="0" xfId="0" applyFont="1" applyBorder="1" applyAlignment="1"/>
    <xf numFmtId="0" fontId="0" fillId="11" borderId="0" xfId="0" applyFill="1" applyBorder="1" applyAlignment="1"/>
    <xf numFmtId="0" fontId="2" fillId="11" borderId="0" xfId="0" applyFont="1" applyFill="1" applyBorder="1" applyAlignment="1">
      <alignment horizontal="center"/>
    </xf>
    <xf numFmtId="2" fontId="0" fillId="11" borderId="0" xfId="0" applyNumberFormat="1" applyFill="1" applyBorder="1"/>
    <xf numFmtId="0" fontId="1" fillId="11" borderId="0" xfId="0" applyFont="1" applyFill="1" applyBorder="1"/>
    <xf numFmtId="3" fontId="1" fillId="11" borderId="0" xfId="0" applyNumberFormat="1" applyFont="1" applyFill="1" applyBorder="1"/>
    <xf numFmtId="3" fontId="0" fillId="11" borderId="0" xfId="0" applyNumberFormat="1" applyFill="1" applyBorder="1"/>
    <xf numFmtId="3" fontId="1" fillId="10" borderId="35" xfId="0" applyNumberFormat="1" applyFont="1" applyFill="1" applyBorder="1"/>
    <xf numFmtId="0" fontId="0" fillId="14" borderId="10" xfId="0" applyFill="1" applyBorder="1"/>
    <xf numFmtId="0" fontId="0" fillId="14" borderId="0" xfId="0" applyFill="1" applyBorder="1"/>
    <xf numFmtId="0" fontId="0" fillId="14" borderId="11" xfId="0" applyFill="1" applyBorder="1"/>
    <xf numFmtId="0" fontId="1" fillId="0" borderId="20" xfId="0" applyFont="1" applyBorder="1"/>
    <xf numFmtId="10" fontId="0" fillId="11" borderId="0" xfId="0" applyNumberFormat="1" applyFill="1" applyBorder="1"/>
    <xf numFmtId="0" fontId="1" fillId="0" borderId="43" xfId="0" applyFont="1" applyBorder="1"/>
    <xf numFmtId="0" fontId="0" fillId="10" borderId="44" xfId="0" applyFill="1" applyBorder="1"/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2" fillId="9" borderId="29" xfId="0" applyFont="1" applyFill="1" applyBorder="1" applyAlignment="1">
      <alignment horizontal="center"/>
    </xf>
    <xf numFmtId="0" fontId="2" fillId="9" borderId="21" xfId="0" applyFont="1" applyFill="1" applyBorder="1" applyAlignment="1">
      <alignment horizontal="center"/>
    </xf>
    <xf numFmtId="0" fontId="2" fillId="9" borderId="30" xfId="0" applyFont="1" applyFill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5" fillId="15" borderId="26" xfId="0" applyFont="1" applyFill="1" applyBorder="1" applyAlignment="1">
      <alignment horizontal="center" vertical="center"/>
    </xf>
    <xf numFmtId="0" fontId="15" fillId="15" borderId="27" xfId="0" applyFont="1" applyFill="1" applyBorder="1" applyAlignment="1">
      <alignment horizontal="center" vertical="center"/>
    </xf>
    <xf numFmtId="0" fontId="15" fillId="15" borderId="28" xfId="0" applyFont="1" applyFill="1" applyBorder="1" applyAlignment="1">
      <alignment horizontal="center" vertical="center"/>
    </xf>
    <xf numFmtId="0" fontId="15" fillId="15" borderId="12" xfId="0" applyFont="1" applyFill="1" applyBorder="1" applyAlignment="1">
      <alignment horizontal="center" vertical="center"/>
    </xf>
    <xf numFmtId="0" fontId="15" fillId="15" borderId="13" xfId="0" applyFont="1" applyFill="1" applyBorder="1" applyAlignment="1">
      <alignment horizontal="center" vertical="center"/>
    </xf>
    <xf numFmtId="0" fontId="15" fillId="15" borderId="14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  <colors>
    <mruColors>
      <color rgb="FF80000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</xdr:row>
      <xdr:rowOff>200025</xdr:rowOff>
    </xdr:from>
    <xdr:ext cx="2190750" cy="436786"/>
    <xdr:sp macro="" textlink="">
      <xdr:nvSpPr>
        <xdr:cNvPr id="2" name="TextBox 1"/>
        <xdr:cNvSpPr txBox="1"/>
      </xdr:nvSpPr>
      <xdr:spPr>
        <a:xfrm>
          <a:off x="1409700" y="828675"/>
          <a:ext cx="2190750" cy="436786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IN" sz="1100"/>
            <a:t>Choose your investment frequency and the investment amount</a:t>
          </a:r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2190750" cy="436786"/>
    <xdr:sp macro="" textlink="">
      <xdr:nvSpPr>
        <xdr:cNvPr id="3" name="TextBox 2"/>
        <xdr:cNvSpPr txBox="1"/>
      </xdr:nvSpPr>
      <xdr:spPr>
        <a:xfrm>
          <a:off x="7991475" y="838200"/>
          <a:ext cx="2190750" cy="436786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IN" sz="1100"/>
            <a:t>The maturity amount</a:t>
          </a:r>
          <a:r>
            <a:rPr lang="en-IN" sz="1100" baseline="0"/>
            <a:t> is what you will get after 15 years</a:t>
          </a:r>
          <a:endParaRPr lang="en-IN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</xdr:colOff>
      <xdr:row>6</xdr:row>
      <xdr:rowOff>182880</xdr:rowOff>
    </xdr:from>
    <xdr:to>
      <xdr:col>2</xdr:col>
      <xdr:colOff>601980</xdr:colOff>
      <xdr:row>8</xdr:row>
      <xdr:rowOff>76200</xdr:rowOff>
    </xdr:to>
    <xdr:sp macro="[0]!Macro1" textlink="">
      <xdr:nvSpPr>
        <xdr:cNvPr id="2" name="Rounded Rectangle 1"/>
        <xdr:cNvSpPr/>
      </xdr:nvSpPr>
      <xdr:spPr>
        <a:xfrm>
          <a:off x="762000" y="1371600"/>
          <a:ext cx="1181100" cy="28956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/>
            <a:t>Click</a:t>
          </a:r>
          <a:r>
            <a:rPr lang="en-IN" sz="1100" baseline="0"/>
            <a:t> on me!</a:t>
          </a:r>
          <a:endParaRPr lang="en-IN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91440</xdr:rowOff>
    </xdr:from>
    <xdr:to>
      <xdr:col>8</xdr:col>
      <xdr:colOff>365760</xdr:colOff>
      <xdr:row>11</xdr:row>
      <xdr:rowOff>99060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15447" t="31121" r="29868" b="31510"/>
        <a:stretch>
          <a:fillRect/>
        </a:stretch>
      </xdr:blipFill>
      <xdr:spPr bwMode="auto">
        <a:xfrm>
          <a:off x="38100" y="91440"/>
          <a:ext cx="5692140" cy="21869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D1:Y252"/>
  <sheetViews>
    <sheetView showGridLines="0" topLeftCell="A243" workbookViewId="0">
      <selection activeCell="L258" sqref="L258"/>
    </sheetView>
  </sheetViews>
  <sheetFormatPr defaultColWidth="9" defaultRowHeight="15.6"/>
  <cols>
    <col min="1" max="4" width="4.59765625" style="25" customWidth="1"/>
    <col min="5" max="5" width="18.8984375" style="25" bestFit="1" customWidth="1"/>
    <col min="6" max="6" width="10.3984375" style="25" bestFit="1" customWidth="1"/>
    <col min="7" max="8" width="9" style="25"/>
    <col min="9" max="9" width="9.3984375" style="25" bestFit="1" customWidth="1"/>
    <col min="10" max="10" width="11.8984375" style="25" bestFit="1" customWidth="1"/>
    <col min="11" max="11" width="9.3984375" style="25" bestFit="1" customWidth="1"/>
    <col min="12" max="12" width="9" style="25"/>
    <col min="13" max="13" width="16.09765625" style="25" bestFit="1" customWidth="1"/>
    <col min="14" max="14" width="13.8984375" style="25" customWidth="1"/>
    <col min="15" max="19" width="4.59765625" style="25" customWidth="1"/>
    <col min="20" max="16384" width="9" style="25"/>
  </cols>
  <sheetData>
    <row r="1" spans="4:25" ht="16.5" customHeight="1" thickBot="1">
      <c r="Y1" s="25">
        <v>30000</v>
      </c>
    </row>
    <row r="2" spans="4:25" ht="16.5" customHeight="1">
      <c r="D2" s="103" t="s">
        <v>47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</row>
    <row r="3" spans="4:25" ht="16.5" customHeight="1" thickBot="1">
      <c r="D3" s="106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8"/>
    </row>
    <row r="4" spans="4:25" ht="16.5" customHeight="1">
      <c r="D4" s="16"/>
      <c r="E4" s="17"/>
      <c r="F4" s="17"/>
      <c r="G4" s="17"/>
      <c r="H4" s="56" t="s">
        <v>48</v>
      </c>
      <c r="I4" s="55"/>
      <c r="J4" s="55"/>
      <c r="K4" s="55"/>
      <c r="L4" s="17"/>
      <c r="M4" s="17"/>
      <c r="N4" s="17"/>
      <c r="O4" s="18"/>
    </row>
    <row r="5" spans="4:25" ht="16.5" customHeight="1"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</row>
    <row r="6" spans="4:25" ht="16.5" customHeight="1"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</row>
    <row r="7" spans="4:25" ht="16.5" customHeight="1" thickBot="1"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8"/>
    </row>
    <row r="8" spans="4:25" ht="16.2" thickBot="1">
      <c r="D8" s="19"/>
      <c r="E8" s="109" t="s">
        <v>32</v>
      </c>
      <c r="F8" s="110"/>
      <c r="G8" s="20"/>
      <c r="H8" s="109" t="s">
        <v>35</v>
      </c>
      <c r="I8" s="111"/>
      <c r="J8" s="111"/>
      <c r="K8" s="110"/>
      <c r="L8" s="20"/>
      <c r="M8" s="109" t="s">
        <v>36</v>
      </c>
      <c r="N8" s="110"/>
      <c r="O8" s="21"/>
    </row>
    <row r="9" spans="4:25">
      <c r="D9" s="19"/>
      <c r="E9" s="13" t="s">
        <v>33</v>
      </c>
      <c r="F9" s="14" t="s">
        <v>39</v>
      </c>
      <c r="G9" s="20"/>
      <c r="H9" s="112" t="s">
        <v>38</v>
      </c>
      <c r="I9" s="113"/>
      <c r="J9" s="114"/>
      <c r="K9" s="12">
        <v>8.6999999999999994E-2</v>
      </c>
      <c r="L9" s="20"/>
      <c r="M9" s="26" t="s">
        <v>37</v>
      </c>
      <c r="N9" s="15">
        <f>J250</f>
        <v>29999.999999999236</v>
      </c>
      <c r="O9" s="21"/>
    </row>
    <row r="10" spans="4:25">
      <c r="D10" s="19"/>
      <c r="E10" s="11" t="s">
        <v>34</v>
      </c>
      <c r="F10" s="27">
        <v>83.252217930602711</v>
      </c>
      <c r="G10" s="20"/>
      <c r="H10" s="20"/>
      <c r="I10" s="20"/>
      <c r="J10" s="20"/>
      <c r="K10" s="20"/>
      <c r="L10" s="20"/>
      <c r="M10" s="20"/>
      <c r="N10" s="20"/>
      <c r="O10" s="21"/>
    </row>
    <row r="11" spans="4:25"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</row>
    <row r="12" spans="4:25">
      <c r="D12" s="19"/>
      <c r="E12" s="20"/>
      <c r="F12" s="20"/>
      <c r="G12" s="20"/>
      <c r="H12" s="99" t="s">
        <v>16</v>
      </c>
      <c r="I12" s="100"/>
      <c r="J12" s="100"/>
      <c r="K12" s="101"/>
      <c r="L12" s="20"/>
      <c r="M12" s="60"/>
      <c r="N12" s="20"/>
      <c r="O12" s="21"/>
    </row>
    <row r="13" spans="4:25">
      <c r="D13" s="19"/>
      <c r="E13" s="102" t="str">
        <f>IF(AND(F9="Monthly",F10*12&gt;=150000),"Warning: Annual Investment should not exceed 1.5 lakh",IF(AND(F9="Quarterly",F10*4&gt;150000),"Warning: Annual Investment should not exceed 1.5 lakh",IF(AND(F9="Half-Yearly",F10*2&gt;150000),"Warning: Annual Investment should not exceed 1.5 lakh",IF(AND(F9="Annual",F10&gt;150000),"Warning: Annual Investment should not exceed 1.5 lakh",""))))</f>
        <v/>
      </c>
      <c r="F13" s="102"/>
      <c r="G13" s="20"/>
      <c r="H13" s="1" t="s">
        <v>1</v>
      </c>
      <c r="I13" s="2" t="s">
        <v>14</v>
      </c>
      <c r="J13" s="2" t="s">
        <v>0</v>
      </c>
      <c r="K13" s="3" t="s">
        <v>15</v>
      </c>
      <c r="L13" s="20"/>
      <c r="M13" s="60"/>
      <c r="N13" s="20"/>
      <c r="O13" s="21"/>
    </row>
    <row r="14" spans="4:25">
      <c r="D14" s="19"/>
      <c r="E14" s="102"/>
      <c r="F14" s="102"/>
      <c r="G14" s="20"/>
      <c r="H14" s="4" t="s">
        <v>2</v>
      </c>
      <c r="I14" s="5">
        <f>$F$10</f>
        <v>83.252217930602711</v>
      </c>
      <c r="J14" s="5">
        <f>I14</f>
        <v>83.252217930602711</v>
      </c>
      <c r="K14" s="6">
        <f t="shared" ref="K14:K25" si="0">J14*$K$9/12</f>
        <v>0.60357857999686959</v>
      </c>
      <c r="L14" s="20"/>
      <c r="M14" s="60"/>
      <c r="N14" s="20"/>
      <c r="O14" s="21"/>
    </row>
    <row r="15" spans="4:25">
      <c r="D15" s="19"/>
      <c r="E15" s="102"/>
      <c r="F15" s="102"/>
      <c r="G15" s="20"/>
      <c r="H15" s="4" t="s">
        <v>3</v>
      </c>
      <c r="I15" s="5">
        <f>IF($F$9="Monthly",$F$10,0)</f>
        <v>83.252217930602711</v>
      </c>
      <c r="J15" s="5">
        <f>I15+J14</f>
        <v>166.50443586120542</v>
      </c>
      <c r="K15" s="6">
        <f t="shared" si="0"/>
        <v>1.2071571599937392</v>
      </c>
      <c r="L15" s="20"/>
      <c r="M15" s="20"/>
      <c r="N15" s="20"/>
      <c r="O15" s="21"/>
    </row>
    <row r="16" spans="4:25">
      <c r="D16" s="19"/>
      <c r="E16" s="20"/>
      <c r="F16" s="20"/>
      <c r="G16" s="20"/>
      <c r="H16" s="4" t="s">
        <v>4</v>
      </c>
      <c r="I16" s="5">
        <f>IF($F$9="Monthly",$F$10,0)</f>
        <v>83.252217930602711</v>
      </c>
      <c r="J16" s="5">
        <f t="shared" ref="J16:J25" si="1">I16+J15</f>
        <v>249.75665379180813</v>
      </c>
      <c r="K16" s="6">
        <f t="shared" si="0"/>
        <v>1.8107357399906088</v>
      </c>
      <c r="L16" s="20"/>
      <c r="M16" s="20"/>
      <c r="N16" s="20"/>
      <c r="O16" s="21"/>
    </row>
    <row r="17" spans="4:15">
      <c r="D17" s="19"/>
      <c r="E17" s="20"/>
      <c r="F17" s="20"/>
      <c r="G17" s="20"/>
      <c r="H17" s="4" t="s">
        <v>5</v>
      </c>
      <c r="I17" s="5">
        <f>IF(OR($F$9="Monthly",$F$9="Quarterly"),$F$10,0)</f>
        <v>83.252217930602711</v>
      </c>
      <c r="J17" s="5">
        <f t="shared" si="1"/>
        <v>333.00887172241084</v>
      </c>
      <c r="K17" s="6">
        <f t="shared" si="0"/>
        <v>2.4143143199874784</v>
      </c>
      <c r="L17" s="20"/>
      <c r="M17" s="20"/>
      <c r="N17" s="20"/>
      <c r="O17" s="21"/>
    </row>
    <row r="18" spans="4:15">
      <c r="D18" s="19"/>
      <c r="E18" s="20"/>
      <c r="F18" s="20"/>
      <c r="G18" s="20"/>
      <c r="H18" s="4" t="s">
        <v>6</v>
      </c>
      <c r="I18" s="5">
        <f>IF($F$9="Monthly",$F$10,0)</f>
        <v>83.252217930602711</v>
      </c>
      <c r="J18" s="5">
        <f t="shared" si="1"/>
        <v>416.26108965301353</v>
      </c>
      <c r="K18" s="6">
        <f t="shared" si="0"/>
        <v>3.0178928999843477</v>
      </c>
      <c r="L18" s="20"/>
      <c r="M18" s="20"/>
      <c r="N18" s="20"/>
      <c r="O18" s="21"/>
    </row>
    <row r="19" spans="4:15">
      <c r="D19" s="19"/>
      <c r="E19" s="20"/>
      <c r="F19" s="20"/>
      <c r="G19" s="20"/>
      <c r="H19" s="4" t="s">
        <v>7</v>
      </c>
      <c r="I19" s="5">
        <f>IF($F$9="Monthly",$F$10,0)</f>
        <v>83.252217930602711</v>
      </c>
      <c r="J19" s="5">
        <f t="shared" si="1"/>
        <v>499.51330758361621</v>
      </c>
      <c r="K19" s="6">
        <f t="shared" si="0"/>
        <v>3.6214714799812171</v>
      </c>
      <c r="L19" s="20"/>
      <c r="M19" s="20"/>
      <c r="N19" s="20"/>
      <c r="O19" s="21"/>
    </row>
    <row r="20" spans="4:15">
      <c r="D20" s="19"/>
      <c r="E20" s="20"/>
      <c r="F20" s="20"/>
      <c r="G20" s="20"/>
      <c r="H20" s="4" t="s">
        <v>8</v>
      </c>
      <c r="I20" s="5">
        <f>IF($F$9&lt;&gt;"Annual",$F$10,0)</f>
        <v>83.252217930602711</v>
      </c>
      <c r="J20" s="5">
        <f t="shared" si="1"/>
        <v>582.76552551421889</v>
      </c>
      <c r="K20" s="6">
        <f t="shared" si="0"/>
        <v>4.2250500599780869</v>
      </c>
      <c r="L20" s="20"/>
      <c r="M20" s="20"/>
      <c r="N20" s="20"/>
      <c r="O20" s="21"/>
    </row>
    <row r="21" spans="4:15">
      <c r="D21" s="19"/>
      <c r="E21" s="20"/>
      <c r="F21" s="20"/>
      <c r="G21" s="20"/>
      <c r="H21" s="4" t="s">
        <v>9</v>
      </c>
      <c r="I21" s="5">
        <f>IF($F$9="Monthly",$F$10,0)</f>
        <v>83.252217930602711</v>
      </c>
      <c r="J21" s="5">
        <f t="shared" si="1"/>
        <v>666.01774344482158</v>
      </c>
      <c r="K21" s="6">
        <f t="shared" si="0"/>
        <v>4.8286286399749558</v>
      </c>
      <c r="L21" s="20"/>
      <c r="M21" s="20"/>
      <c r="N21" s="20"/>
      <c r="O21" s="21"/>
    </row>
    <row r="22" spans="4:15">
      <c r="D22" s="19"/>
      <c r="E22" s="20"/>
      <c r="F22" s="20"/>
      <c r="G22" s="20"/>
      <c r="H22" s="4" t="s">
        <v>10</v>
      </c>
      <c r="I22" s="5">
        <f>IF($F$9="Monthly",$F$10,0)</f>
        <v>83.252217930602711</v>
      </c>
      <c r="J22" s="5">
        <f t="shared" si="1"/>
        <v>749.26996137542426</v>
      </c>
      <c r="K22" s="6">
        <f t="shared" si="0"/>
        <v>5.4322072199718257</v>
      </c>
      <c r="L22" s="20"/>
      <c r="M22" s="20"/>
      <c r="N22" s="20"/>
      <c r="O22" s="21"/>
    </row>
    <row r="23" spans="4:15">
      <c r="D23" s="19"/>
      <c r="E23" s="20"/>
      <c r="F23" s="20"/>
      <c r="G23" s="20"/>
      <c r="H23" s="4" t="s">
        <v>11</v>
      </c>
      <c r="I23" s="5">
        <f>IF(OR($F$9="Monthly",$F$9="Quarterly"),$F$10,0)</f>
        <v>83.252217930602711</v>
      </c>
      <c r="J23" s="5">
        <f t="shared" si="1"/>
        <v>832.52217930602694</v>
      </c>
      <c r="K23" s="6">
        <f t="shared" si="0"/>
        <v>6.0357857999686955</v>
      </c>
      <c r="L23" s="20"/>
      <c r="M23" s="20"/>
      <c r="N23" s="20"/>
      <c r="O23" s="21"/>
    </row>
    <row r="24" spans="4:15">
      <c r="D24" s="19"/>
      <c r="E24" s="20"/>
      <c r="F24" s="20"/>
      <c r="G24" s="20"/>
      <c r="H24" s="4" t="s">
        <v>12</v>
      </c>
      <c r="I24" s="5">
        <f>IF($F$9="Monthly",$F$10,0)</f>
        <v>83.252217930602711</v>
      </c>
      <c r="J24" s="5">
        <f t="shared" si="1"/>
        <v>915.77439723662962</v>
      </c>
      <c r="K24" s="6">
        <f t="shared" si="0"/>
        <v>6.6393643799655644</v>
      </c>
      <c r="L24" s="20"/>
      <c r="M24" s="20"/>
      <c r="N24" s="20"/>
      <c r="O24" s="21"/>
    </row>
    <row r="25" spans="4:15">
      <c r="D25" s="19"/>
      <c r="E25" s="20"/>
      <c r="F25" s="20"/>
      <c r="G25" s="20"/>
      <c r="H25" s="4" t="s">
        <v>13</v>
      </c>
      <c r="I25" s="5">
        <f>IF($F$9="Monthly",$F$10,0)</f>
        <v>83.252217930602711</v>
      </c>
      <c r="J25" s="5">
        <f t="shared" si="1"/>
        <v>999.02661516723231</v>
      </c>
      <c r="K25" s="6">
        <f t="shared" si="0"/>
        <v>7.2429429599624342</v>
      </c>
      <c r="L25" s="20"/>
      <c r="M25" s="20"/>
      <c r="N25" s="20"/>
      <c r="O25" s="21"/>
    </row>
    <row r="26" spans="4:15">
      <c r="D26" s="19"/>
      <c r="E26" s="20"/>
      <c r="F26" s="20"/>
      <c r="G26" s="20"/>
      <c r="H26" s="7" t="s">
        <v>21</v>
      </c>
      <c r="I26" s="8"/>
      <c r="J26" s="9">
        <f>J25+SUM(K14:K25)</f>
        <v>1046.1057444069882</v>
      </c>
      <c r="K26" s="10"/>
      <c r="L26" s="20"/>
      <c r="M26" s="20"/>
      <c r="N26" s="20"/>
      <c r="O26" s="21"/>
    </row>
    <row r="27" spans="4:15"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/>
    </row>
    <row r="28" spans="4:15">
      <c r="D28" s="19"/>
      <c r="E28" s="20"/>
      <c r="F28" s="20"/>
      <c r="G28" s="20"/>
      <c r="H28" s="99" t="s">
        <v>17</v>
      </c>
      <c r="I28" s="100"/>
      <c r="J28" s="100"/>
      <c r="K28" s="101"/>
      <c r="L28" s="20"/>
      <c r="M28" s="20"/>
      <c r="N28" s="20"/>
      <c r="O28" s="21"/>
    </row>
    <row r="29" spans="4:15">
      <c r="D29" s="19"/>
      <c r="E29" s="20"/>
      <c r="F29" s="20"/>
      <c r="G29" s="20"/>
      <c r="H29" s="1" t="s">
        <v>1</v>
      </c>
      <c r="I29" s="2" t="s">
        <v>14</v>
      </c>
      <c r="J29" s="2" t="s">
        <v>0</v>
      </c>
      <c r="K29" s="3" t="s">
        <v>15</v>
      </c>
      <c r="L29" s="20"/>
      <c r="M29" s="20"/>
      <c r="N29" s="20"/>
      <c r="O29" s="21"/>
    </row>
    <row r="30" spans="4:15">
      <c r="D30" s="19"/>
      <c r="E30" s="20"/>
      <c r="F30" s="20"/>
      <c r="G30" s="20"/>
      <c r="H30" s="4" t="s">
        <v>2</v>
      </c>
      <c r="I30" s="5">
        <f>$F$10</f>
        <v>83.252217930602711</v>
      </c>
      <c r="J30" s="5">
        <f>I30+J26</f>
        <v>1129.3579623375908</v>
      </c>
      <c r="K30" s="6">
        <f t="shared" ref="K30:K41" si="2">J30*$K$9/12</f>
        <v>8.1878452269475321</v>
      </c>
      <c r="L30" s="20"/>
      <c r="M30" s="20"/>
      <c r="N30" s="20"/>
      <c r="O30" s="21"/>
    </row>
    <row r="31" spans="4:15">
      <c r="D31" s="19"/>
      <c r="E31" s="20"/>
      <c r="F31" s="20"/>
      <c r="G31" s="20"/>
      <c r="H31" s="4" t="s">
        <v>3</v>
      </c>
      <c r="I31" s="5">
        <f>IF($F$9="Monthly",$F$10,0)</f>
        <v>83.252217930602711</v>
      </c>
      <c r="J31" s="5">
        <f>I31+J30</f>
        <v>1212.6101802681935</v>
      </c>
      <c r="K31" s="6">
        <f t="shared" si="2"/>
        <v>8.7914238069444028</v>
      </c>
      <c r="L31" s="20"/>
      <c r="M31" s="20"/>
      <c r="N31" s="20"/>
      <c r="O31" s="21"/>
    </row>
    <row r="32" spans="4:15">
      <c r="D32" s="19"/>
      <c r="E32" s="20"/>
      <c r="F32" s="20"/>
      <c r="G32" s="20"/>
      <c r="H32" s="4" t="s">
        <v>4</v>
      </c>
      <c r="I32" s="5">
        <f>IF($F$9="Monthly",$F$10,0)</f>
        <v>83.252217930602711</v>
      </c>
      <c r="J32" s="5">
        <f t="shared" ref="J32:J41" si="3">I32+J31</f>
        <v>1295.8623981987962</v>
      </c>
      <c r="K32" s="6">
        <f t="shared" si="2"/>
        <v>9.3950023869412718</v>
      </c>
      <c r="L32" s="20"/>
      <c r="M32" s="20"/>
      <c r="N32" s="20"/>
      <c r="O32" s="21"/>
    </row>
    <row r="33" spans="4:15">
      <c r="D33" s="19"/>
      <c r="E33" s="20"/>
      <c r="F33" s="20"/>
      <c r="G33" s="20"/>
      <c r="H33" s="4" t="s">
        <v>5</v>
      </c>
      <c r="I33" s="5">
        <f>IF(OR($F$9="Monthly",$F$9="Quarterly"),$F$10,0)</f>
        <v>83.252217930602711</v>
      </c>
      <c r="J33" s="5">
        <f t="shared" si="3"/>
        <v>1379.1146161293989</v>
      </c>
      <c r="K33" s="6">
        <f t="shared" si="2"/>
        <v>9.9985809669381407</v>
      </c>
      <c r="L33" s="20"/>
      <c r="M33" s="20"/>
      <c r="N33" s="20"/>
      <c r="O33" s="21"/>
    </row>
    <row r="34" spans="4:15">
      <c r="D34" s="19"/>
      <c r="E34" s="20"/>
      <c r="F34" s="20"/>
      <c r="G34" s="20"/>
      <c r="H34" s="4" t="s">
        <v>6</v>
      </c>
      <c r="I34" s="5">
        <f>IF($F$9="Monthly",$F$10,0)</f>
        <v>83.252217930602711</v>
      </c>
      <c r="J34" s="5">
        <f t="shared" si="3"/>
        <v>1462.3668340600016</v>
      </c>
      <c r="K34" s="6">
        <f t="shared" si="2"/>
        <v>10.602159546935011</v>
      </c>
      <c r="L34" s="20"/>
      <c r="M34" s="20"/>
      <c r="N34" s="20"/>
      <c r="O34" s="21"/>
    </row>
    <row r="35" spans="4:15">
      <c r="D35" s="19"/>
      <c r="E35" s="20"/>
      <c r="F35" s="20"/>
      <c r="G35" s="20"/>
      <c r="H35" s="4" t="s">
        <v>7</v>
      </c>
      <c r="I35" s="5">
        <f>IF($F$9="Monthly",$F$10,0)</f>
        <v>83.252217930602711</v>
      </c>
      <c r="J35" s="5">
        <f t="shared" si="3"/>
        <v>1545.6190519906042</v>
      </c>
      <c r="K35" s="6">
        <f t="shared" si="2"/>
        <v>11.205738126931879</v>
      </c>
      <c r="L35" s="20"/>
      <c r="M35" s="20"/>
      <c r="N35" s="20"/>
      <c r="O35" s="21"/>
    </row>
    <row r="36" spans="4:15">
      <c r="D36" s="19"/>
      <c r="E36" s="20"/>
      <c r="F36" s="20"/>
      <c r="G36" s="20"/>
      <c r="H36" s="4" t="s">
        <v>8</v>
      </c>
      <c r="I36" s="5">
        <f>IF($F$9&lt;&gt;"Annual",$F$10,0)</f>
        <v>83.252217930602711</v>
      </c>
      <c r="J36" s="5">
        <f t="shared" si="3"/>
        <v>1628.8712699212069</v>
      </c>
      <c r="K36" s="6">
        <f t="shared" si="2"/>
        <v>11.809316706928749</v>
      </c>
      <c r="L36" s="20"/>
      <c r="M36" s="20"/>
      <c r="N36" s="20"/>
      <c r="O36" s="21"/>
    </row>
    <row r="37" spans="4:15">
      <c r="D37" s="19"/>
      <c r="E37" s="20"/>
      <c r="F37" s="20"/>
      <c r="G37" s="20"/>
      <c r="H37" s="4" t="s">
        <v>9</v>
      </c>
      <c r="I37" s="5">
        <f>IF($F$9="Monthly",$F$10,0)</f>
        <v>83.252217930602711</v>
      </c>
      <c r="J37" s="5">
        <f t="shared" si="3"/>
        <v>1712.1234878518096</v>
      </c>
      <c r="K37" s="6">
        <f t="shared" si="2"/>
        <v>12.412895286925618</v>
      </c>
      <c r="L37" s="20"/>
      <c r="M37" s="20"/>
      <c r="N37" s="20"/>
      <c r="O37" s="21"/>
    </row>
    <row r="38" spans="4:15">
      <c r="D38" s="19"/>
      <c r="E38" s="20"/>
      <c r="F38" s="20"/>
      <c r="G38" s="20"/>
      <c r="H38" s="4" t="s">
        <v>10</v>
      </c>
      <c r="I38" s="5">
        <f>IF($F$9="Monthly",$F$10,0)</f>
        <v>83.252217930602711</v>
      </c>
      <c r="J38" s="5">
        <f t="shared" si="3"/>
        <v>1795.3757057824123</v>
      </c>
      <c r="K38" s="6">
        <f t="shared" si="2"/>
        <v>13.016473866922489</v>
      </c>
      <c r="L38" s="20"/>
      <c r="M38" s="20"/>
      <c r="N38" s="20"/>
      <c r="O38" s="21"/>
    </row>
    <row r="39" spans="4:15">
      <c r="D39" s="19"/>
      <c r="E39" s="20"/>
      <c r="F39" s="20"/>
      <c r="G39" s="20"/>
      <c r="H39" s="4" t="s">
        <v>11</v>
      </c>
      <c r="I39" s="5">
        <f>IF(OR($F$9="Monthly",$F$9="Quarterly"),$F$10,0)</f>
        <v>83.252217930602711</v>
      </c>
      <c r="J39" s="5">
        <f t="shared" si="3"/>
        <v>1878.627923713015</v>
      </c>
      <c r="K39" s="6">
        <f t="shared" si="2"/>
        <v>13.620052446919358</v>
      </c>
      <c r="L39" s="20"/>
      <c r="M39" s="20"/>
      <c r="N39" s="20"/>
      <c r="O39" s="21"/>
    </row>
    <row r="40" spans="4:15">
      <c r="D40" s="19"/>
      <c r="E40" s="20"/>
      <c r="F40" s="20"/>
      <c r="G40" s="20"/>
      <c r="H40" s="4" t="s">
        <v>12</v>
      </c>
      <c r="I40" s="5">
        <f>IF($F$9="Monthly",$F$10,0)</f>
        <v>83.252217930602711</v>
      </c>
      <c r="J40" s="5">
        <f t="shared" si="3"/>
        <v>1961.8801416436177</v>
      </c>
      <c r="K40" s="6">
        <f t="shared" si="2"/>
        <v>14.223631026916228</v>
      </c>
      <c r="L40" s="20"/>
      <c r="M40" s="20"/>
      <c r="N40" s="20"/>
      <c r="O40" s="21"/>
    </row>
    <row r="41" spans="4:15">
      <c r="D41" s="19"/>
      <c r="E41" s="20"/>
      <c r="F41" s="20"/>
      <c r="G41" s="20"/>
      <c r="H41" s="4" t="s">
        <v>13</v>
      </c>
      <c r="I41" s="5">
        <f>IF($F$9="Monthly",$F$10,0)</f>
        <v>83.252217930602711</v>
      </c>
      <c r="J41" s="5">
        <f t="shared" si="3"/>
        <v>2045.1323595742203</v>
      </c>
      <c r="K41" s="6">
        <f t="shared" si="2"/>
        <v>14.827209606913096</v>
      </c>
      <c r="L41" s="20"/>
      <c r="M41" s="20"/>
      <c r="N41" s="20"/>
      <c r="O41" s="21"/>
    </row>
    <row r="42" spans="4:15">
      <c r="D42" s="19"/>
      <c r="E42" s="20"/>
      <c r="F42" s="20"/>
      <c r="G42" s="20"/>
      <c r="H42" s="7" t="s">
        <v>21</v>
      </c>
      <c r="I42" s="9"/>
      <c r="J42" s="9">
        <f>J41+SUM(K30:K41)</f>
        <v>2183.2226885773839</v>
      </c>
      <c r="K42" s="10"/>
      <c r="L42" s="20"/>
      <c r="M42" s="20"/>
      <c r="N42" s="20"/>
      <c r="O42" s="21"/>
    </row>
    <row r="43" spans="4:15"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1"/>
    </row>
    <row r="44" spans="4:15">
      <c r="D44" s="19"/>
      <c r="E44" s="20"/>
      <c r="F44" s="20"/>
      <c r="G44" s="20"/>
      <c r="H44" s="99" t="s">
        <v>18</v>
      </c>
      <c r="I44" s="100"/>
      <c r="J44" s="100"/>
      <c r="K44" s="101"/>
      <c r="L44" s="20"/>
      <c r="M44" s="20"/>
      <c r="N44" s="20"/>
      <c r="O44" s="21"/>
    </row>
    <row r="45" spans="4:15">
      <c r="D45" s="19"/>
      <c r="E45" s="20"/>
      <c r="F45" s="20"/>
      <c r="G45" s="20"/>
      <c r="H45" s="1" t="s">
        <v>1</v>
      </c>
      <c r="I45" s="2" t="s">
        <v>14</v>
      </c>
      <c r="J45" s="2" t="s">
        <v>0</v>
      </c>
      <c r="K45" s="3" t="s">
        <v>15</v>
      </c>
      <c r="L45" s="20"/>
      <c r="M45" s="20"/>
      <c r="N45" s="20"/>
      <c r="O45" s="21"/>
    </row>
    <row r="46" spans="4:15">
      <c r="D46" s="19"/>
      <c r="E46" s="20"/>
      <c r="F46" s="20"/>
      <c r="G46" s="20"/>
      <c r="H46" s="4" t="s">
        <v>2</v>
      </c>
      <c r="I46" s="5">
        <f>$F$10</f>
        <v>83.252217930602711</v>
      </c>
      <c r="J46" s="5">
        <f>I46+J42</f>
        <v>2266.4749065079868</v>
      </c>
      <c r="K46" s="6">
        <f t="shared" ref="K46:K57" si="4">J46*$K$9/12</f>
        <v>16.431943072182904</v>
      </c>
      <c r="L46" s="20"/>
      <c r="M46" s="20"/>
      <c r="N46" s="20"/>
      <c r="O46" s="21"/>
    </row>
    <row r="47" spans="4:15">
      <c r="D47" s="19"/>
      <c r="E47" s="20"/>
      <c r="F47" s="20"/>
      <c r="G47" s="20"/>
      <c r="H47" s="4" t="s">
        <v>3</v>
      </c>
      <c r="I47" s="5">
        <f>IF($F$9="Monthly",$F$10,0)</f>
        <v>83.252217930602711</v>
      </c>
      <c r="J47" s="5">
        <f>I47+J46</f>
        <v>2349.7271244385897</v>
      </c>
      <c r="K47" s="6">
        <f t="shared" si="4"/>
        <v>17.035521652179774</v>
      </c>
      <c r="L47" s="20"/>
      <c r="M47" s="20"/>
      <c r="N47" s="20"/>
      <c r="O47" s="21"/>
    </row>
    <row r="48" spans="4:15">
      <c r="D48" s="19"/>
      <c r="E48" s="20"/>
      <c r="F48" s="20"/>
      <c r="G48" s="20"/>
      <c r="H48" s="4" t="s">
        <v>4</v>
      </c>
      <c r="I48" s="5">
        <f>IF($F$9="Monthly",$F$10,0)</f>
        <v>83.252217930602711</v>
      </c>
      <c r="J48" s="5">
        <f t="shared" ref="J48:J57" si="5">I48+J47</f>
        <v>2432.9793423691926</v>
      </c>
      <c r="K48" s="6">
        <f t="shared" si="4"/>
        <v>17.639100232176645</v>
      </c>
      <c r="L48" s="20"/>
      <c r="M48" s="20"/>
      <c r="N48" s="20"/>
      <c r="O48" s="21"/>
    </row>
    <row r="49" spans="4:15">
      <c r="D49" s="19"/>
      <c r="E49" s="20"/>
      <c r="F49" s="20"/>
      <c r="G49" s="20"/>
      <c r="H49" s="4" t="s">
        <v>5</v>
      </c>
      <c r="I49" s="5">
        <f>IF(OR($F$9="Monthly",$F$9="Quarterly"),$F$10,0)</f>
        <v>83.252217930602711</v>
      </c>
      <c r="J49" s="5">
        <f t="shared" si="5"/>
        <v>2516.2315602997955</v>
      </c>
      <c r="K49" s="6">
        <f t="shared" si="4"/>
        <v>18.242678812173516</v>
      </c>
      <c r="L49" s="20"/>
      <c r="M49" s="20"/>
      <c r="N49" s="20"/>
      <c r="O49" s="21"/>
    </row>
    <row r="50" spans="4:15">
      <c r="D50" s="19"/>
      <c r="E50" s="20"/>
      <c r="F50" s="20"/>
      <c r="G50" s="20"/>
      <c r="H50" s="4" t="s">
        <v>6</v>
      </c>
      <c r="I50" s="5">
        <f>IF($F$9="Monthly",$F$10,0)</f>
        <v>83.252217930602711</v>
      </c>
      <c r="J50" s="5">
        <f t="shared" si="5"/>
        <v>2599.4837782303985</v>
      </c>
      <c r="K50" s="6">
        <f t="shared" si="4"/>
        <v>18.846257392170386</v>
      </c>
      <c r="L50" s="20"/>
      <c r="M50" s="20"/>
      <c r="N50" s="20"/>
      <c r="O50" s="21"/>
    </row>
    <row r="51" spans="4:15">
      <c r="D51" s="19"/>
      <c r="E51" s="20"/>
      <c r="F51" s="20"/>
      <c r="G51" s="20"/>
      <c r="H51" s="4" t="s">
        <v>7</v>
      </c>
      <c r="I51" s="5">
        <f>IF($F$9="Monthly",$F$10,0)</f>
        <v>83.252217930602711</v>
      </c>
      <c r="J51" s="5">
        <f t="shared" si="5"/>
        <v>2682.7359961610014</v>
      </c>
      <c r="K51" s="6">
        <f t="shared" si="4"/>
        <v>19.449835972167261</v>
      </c>
      <c r="L51" s="20"/>
      <c r="M51" s="20"/>
      <c r="N51" s="20"/>
      <c r="O51" s="21"/>
    </row>
    <row r="52" spans="4:15">
      <c r="D52" s="19"/>
      <c r="E52" s="20"/>
      <c r="F52" s="20"/>
      <c r="G52" s="20"/>
      <c r="H52" s="4" t="s">
        <v>8</v>
      </c>
      <c r="I52" s="5">
        <f>IF($F$9&lt;&gt;"Annual",$F$10,0)</f>
        <v>83.252217930602711</v>
      </c>
      <c r="J52" s="5">
        <f t="shared" si="5"/>
        <v>2765.9882140916043</v>
      </c>
      <c r="K52" s="6">
        <f t="shared" si="4"/>
        <v>20.053414552164131</v>
      </c>
      <c r="L52" s="20"/>
      <c r="M52" s="20"/>
      <c r="N52" s="20"/>
      <c r="O52" s="21"/>
    </row>
    <row r="53" spans="4:15">
      <c r="D53" s="19"/>
      <c r="E53" s="20"/>
      <c r="F53" s="20"/>
      <c r="G53" s="20"/>
      <c r="H53" s="4" t="s">
        <v>9</v>
      </c>
      <c r="I53" s="5">
        <f>IF($F$9="Monthly",$F$10,0)</f>
        <v>83.252217930602711</v>
      </c>
      <c r="J53" s="5">
        <f t="shared" si="5"/>
        <v>2849.2404320222072</v>
      </c>
      <c r="K53" s="6">
        <f t="shared" si="4"/>
        <v>20.656993132161002</v>
      </c>
      <c r="L53" s="20"/>
      <c r="M53" s="20"/>
      <c r="N53" s="20"/>
      <c r="O53" s="21"/>
    </row>
    <row r="54" spans="4:15">
      <c r="D54" s="19"/>
      <c r="E54" s="20"/>
      <c r="F54" s="20"/>
      <c r="G54" s="20"/>
      <c r="H54" s="4" t="s">
        <v>10</v>
      </c>
      <c r="I54" s="5">
        <f>IF($F$9="Monthly",$F$10,0)</f>
        <v>83.252217930602711</v>
      </c>
      <c r="J54" s="5">
        <f t="shared" si="5"/>
        <v>2932.4926499528101</v>
      </c>
      <c r="K54" s="6">
        <f t="shared" si="4"/>
        <v>21.260571712157873</v>
      </c>
      <c r="L54" s="20"/>
      <c r="M54" s="20"/>
      <c r="N54" s="20"/>
      <c r="O54" s="21"/>
    </row>
    <row r="55" spans="4:15">
      <c r="D55" s="19"/>
      <c r="E55" s="20"/>
      <c r="F55" s="20"/>
      <c r="G55" s="20"/>
      <c r="H55" s="4" t="s">
        <v>11</v>
      </c>
      <c r="I55" s="5">
        <f>IF(OR($F$9="Monthly",$F$9="Quarterly"),$F$10,0)</f>
        <v>83.252217930602711</v>
      </c>
      <c r="J55" s="5">
        <f t="shared" si="5"/>
        <v>3015.744867883413</v>
      </c>
      <c r="K55" s="6">
        <f t="shared" si="4"/>
        <v>21.864150292154743</v>
      </c>
      <c r="L55" s="20"/>
      <c r="M55" s="20"/>
      <c r="N55" s="20"/>
      <c r="O55" s="21"/>
    </row>
    <row r="56" spans="4:15">
      <c r="D56" s="19"/>
      <c r="E56" s="20"/>
      <c r="F56" s="20"/>
      <c r="G56" s="20"/>
      <c r="H56" s="4" t="s">
        <v>12</v>
      </c>
      <c r="I56" s="5">
        <f>IF($F$9="Monthly",$F$10,0)</f>
        <v>83.252217930602711</v>
      </c>
      <c r="J56" s="5">
        <f t="shared" si="5"/>
        <v>3098.9970858140159</v>
      </c>
      <c r="K56" s="6">
        <f t="shared" si="4"/>
        <v>22.467728872151614</v>
      </c>
      <c r="L56" s="20"/>
      <c r="M56" s="20"/>
      <c r="N56" s="20"/>
      <c r="O56" s="21"/>
    </row>
    <row r="57" spans="4:15">
      <c r="D57" s="19"/>
      <c r="E57" s="20"/>
      <c r="F57" s="20"/>
      <c r="G57" s="20"/>
      <c r="H57" s="4" t="s">
        <v>13</v>
      </c>
      <c r="I57" s="5">
        <f>IF($F$9="Monthly",$F$10,0)</f>
        <v>83.252217930602711</v>
      </c>
      <c r="J57" s="5">
        <f t="shared" si="5"/>
        <v>3182.2493037446188</v>
      </c>
      <c r="K57" s="6">
        <f t="shared" si="4"/>
        <v>23.071307452148485</v>
      </c>
      <c r="L57" s="20"/>
      <c r="M57" s="20"/>
      <c r="N57" s="20"/>
      <c r="O57" s="21"/>
    </row>
    <row r="58" spans="4:15">
      <c r="D58" s="19"/>
      <c r="E58" s="20"/>
      <c r="F58" s="20"/>
      <c r="G58" s="20"/>
      <c r="H58" s="7" t="s">
        <v>21</v>
      </c>
      <c r="I58" s="9"/>
      <c r="J58" s="9">
        <f>J57+SUM(K46:K57)</f>
        <v>3419.2688068906073</v>
      </c>
      <c r="K58" s="10"/>
      <c r="L58" s="20"/>
      <c r="M58" s="20"/>
      <c r="N58" s="20"/>
      <c r="O58" s="21"/>
    </row>
    <row r="59" spans="4:15">
      <c r="D59" s="19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1"/>
    </row>
    <row r="60" spans="4:15">
      <c r="D60" s="19"/>
      <c r="E60" s="20"/>
      <c r="F60" s="20"/>
      <c r="G60" s="20"/>
      <c r="H60" s="99" t="s">
        <v>19</v>
      </c>
      <c r="I60" s="100"/>
      <c r="J60" s="100"/>
      <c r="K60" s="101"/>
      <c r="L60" s="20"/>
      <c r="M60" s="20"/>
      <c r="N60" s="20"/>
      <c r="O60" s="21"/>
    </row>
    <row r="61" spans="4:15">
      <c r="D61" s="19"/>
      <c r="E61" s="20"/>
      <c r="F61" s="20"/>
      <c r="G61" s="20"/>
      <c r="H61" s="1" t="s">
        <v>1</v>
      </c>
      <c r="I61" s="2" t="s">
        <v>14</v>
      </c>
      <c r="J61" s="2" t="s">
        <v>0</v>
      </c>
      <c r="K61" s="3" t="s">
        <v>15</v>
      </c>
      <c r="L61" s="20"/>
      <c r="M61" s="20"/>
      <c r="N61" s="20"/>
      <c r="O61" s="21"/>
    </row>
    <row r="62" spans="4:15">
      <c r="D62" s="19"/>
      <c r="E62" s="20"/>
      <c r="F62" s="20"/>
      <c r="G62" s="20"/>
      <c r="H62" s="4" t="s">
        <v>2</v>
      </c>
      <c r="I62" s="5">
        <f>$F$10</f>
        <v>83.252217930602711</v>
      </c>
      <c r="J62" s="5">
        <f>I62+J58</f>
        <v>3502.5210248212102</v>
      </c>
      <c r="K62" s="6">
        <f t="shared" ref="K62:K73" si="6">J62*$K$9/12</f>
        <v>25.39327742995377</v>
      </c>
      <c r="L62" s="20"/>
      <c r="M62" s="20"/>
      <c r="N62" s="20"/>
      <c r="O62" s="21"/>
    </row>
    <row r="63" spans="4:15">
      <c r="D63" s="19"/>
      <c r="E63" s="20"/>
      <c r="F63" s="20"/>
      <c r="G63" s="20"/>
      <c r="H63" s="4" t="s">
        <v>3</v>
      </c>
      <c r="I63" s="5">
        <f>IF($F$9="Monthly",$F$10,0)</f>
        <v>83.252217930602711</v>
      </c>
      <c r="J63" s="5">
        <f>I63+J62</f>
        <v>3585.7732427518131</v>
      </c>
      <c r="K63" s="6">
        <f t="shared" si="6"/>
        <v>25.996856009950644</v>
      </c>
      <c r="L63" s="20"/>
      <c r="M63" s="20"/>
      <c r="N63" s="20"/>
      <c r="O63" s="21"/>
    </row>
    <row r="64" spans="4:15">
      <c r="D64" s="19"/>
      <c r="E64" s="20"/>
      <c r="F64" s="20"/>
      <c r="G64" s="20"/>
      <c r="H64" s="4" t="s">
        <v>4</v>
      </c>
      <c r="I64" s="5">
        <f>IF($F$9="Monthly",$F$10,0)</f>
        <v>83.252217930602711</v>
      </c>
      <c r="J64" s="5">
        <f t="shared" ref="J64:J73" si="7">I64+J63</f>
        <v>3669.025460682416</v>
      </c>
      <c r="K64" s="6">
        <f t="shared" si="6"/>
        <v>26.600434589947515</v>
      </c>
      <c r="L64" s="20"/>
      <c r="M64" s="20"/>
      <c r="N64" s="20"/>
      <c r="O64" s="21"/>
    </row>
    <row r="65" spans="4:15">
      <c r="D65" s="19"/>
      <c r="E65" s="20"/>
      <c r="F65" s="20"/>
      <c r="G65" s="20"/>
      <c r="H65" s="4" t="s">
        <v>5</v>
      </c>
      <c r="I65" s="5">
        <f>IF(OR($F$9="Monthly",$F$9="Quarterly"),$F$10,0)</f>
        <v>83.252217930602711</v>
      </c>
      <c r="J65" s="5">
        <f t="shared" si="7"/>
        <v>3752.2776786130189</v>
      </c>
      <c r="K65" s="6">
        <f t="shared" si="6"/>
        <v>27.204013169944385</v>
      </c>
      <c r="L65" s="20"/>
      <c r="M65" s="20"/>
      <c r="N65" s="20"/>
      <c r="O65" s="21"/>
    </row>
    <row r="66" spans="4:15">
      <c r="D66" s="19"/>
      <c r="E66" s="20"/>
      <c r="F66" s="20"/>
      <c r="G66" s="20"/>
      <c r="H66" s="4" t="s">
        <v>6</v>
      </c>
      <c r="I66" s="5">
        <f>IF($F$9="Monthly",$F$10,0)</f>
        <v>83.252217930602711</v>
      </c>
      <c r="J66" s="5">
        <f t="shared" si="7"/>
        <v>3835.5298965436218</v>
      </c>
      <c r="K66" s="6">
        <f t="shared" si="6"/>
        <v>27.807591749941256</v>
      </c>
      <c r="L66" s="20"/>
      <c r="M66" s="20"/>
      <c r="N66" s="20"/>
      <c r="O66" s="21"/>
    </row>
    <row r="67" spans="4:15">
      <c r="D67" s="19"/>
      <c r="E67" s="20"/>
      <c r="F67" s="20"/>
      <c r="G67" s="20"/>
      <c r="H67" s="4" t="s">
        <v>7</v>
      </c>
      <c r="I67" s="5">
        <f>IF($F$9="Monthly",$F$10,0)</f>
        <v>83.252217930602711</v>
      </c>
      <c r="J67" s="5">
        <f t="shared" si="7"/>
        <v>3918.7821144742247</v>
      </c>
      <c r="K67" s="6">
        <f t="shared" si="6"/>
        <v>28.411170329938127</v>
      </c>
      <c r="L67" s="20"/>
      <c r="M67" s="20"/>
      <c r="N67" s="20"/>
      <c r="O67" s="21"/>
    </row>
    <row r="68" spans="4:15">
      <c r="D68" s="19"/>
      <c r="E68" s="20"/>
      <c r="F68" s="20"/>
      <c r="G68" s="20"/>
      <c r="H68" s="4" t="s">
        <v>8</v>
      </c>
      <c r="I68" s="5">
        <f>IF($F$9&lt;&gt;"Annual",$F$10,0)</f>
        <v>83.252217930602711</v>
      </c>
      <c r="J68" s="5">
        <f t="shared" si="7"/>
        <v>4002.0343324048276</v>
      </c>
      <c r="K68" s="6">
        <f t="shared" si="6"/>
        <v>29.014748909934998</v>
      </c>
      <c r="L68" s="20"/>
      <c r="M68" s="20"/>
      <c r="N68" s="20"/>
      <c r="O68" s="21"/>
    </row>
    <row r="69" spans="4:15">
      <c r="D69" s="19"/>
      <c r="E69" s="20"/>
      <c r="F69" s="20"/>
      <c r="G69" s="20"/>
      <c r="H69" s="4" t="s">
        <v>9</v>
      </c>
      <c r="I69" s="5">
        <f>IF($F$9="Monthly",$F$10,0)</f>
        <v>83.252217930602711</v>
      </c>
      <c r="J69" s="5">
        <f t="shared" si="7"/>
        <v>4085.2865503354305</v>
      </c>
      <c r="K69" s="6">
        <f t="shared" si="6"/>
        <v>29.618327489931868</v>
      </c>
      <c r="L69" s="20"/>
      <c r="M69" s="20"/>
      <c r="N69" s="20"/>
      <c r="O69" s="21"/>
    </row>
    <row r="70" spans="4:15">
      <c r="D70" s="19"/>
      <c r="E70" s="20"/>
      <c r="F70" s="20"/>
      <c r="G70" s="20"/>
      <c r="H70" s="4" t="s">
        <v>10</v>
      </c>
      <c r="I70" s="5">
        <f>IF($F$9="Monthly",$F$10,0)</f>
        <v>83.252217930602711</v>
      </c>
      <c r="J70" s="5">
        <f t="shared" si="7"/>
        <v>4168.538768266033</v>
      </c>
      <c r="K70" s="6">
        <f t="shared" si="6"/>
        <v>30.221906069928735</v>
      </c>
      <c r="L70" s="20"/>
      <c r="M70" s="20"/>
      <c r="N70" s="20"/>
      <c r="O70" s="21"/>
    </row>
    <row r="71" spans="4:15">
      <c r="D71" s="19"/>
      <c r="E71" s="20"/>
      <c r="F71" s="20"/>
      <c r="G71" s="20"/>
      <c r="H71" s="4" t="s">
        <v>11</v>
      </c>
      <c r="I71" s="5">
        <f>IF(OR($F$9="Monthly",$F$9="Quarterly"),$F$10,0)</f>
        <v>83.252217930602711</v>
      </c>
      <c r="J71" s="5">
        <f t="shared" si="7"/>
        <v>4251.7909861966355</v>
      </c>
      <c r="K71" s="6">
        <f t="shared" si="6"/>
        <v>30.825484649925603</v>
      </c>
      <c r="L71" s="20"/>
      <c r="M71" s="20"/>
      <c r="N71" s="20"/>
      <c r="O71" s="21"/>
    </row>
    <row r="72" spans="4:15">
      <c r="D72" s="19"/>
      <c r="E72" s="20"/>
      <c r="F72" s="20"/>
      <c r="G72" s="20"/>
      <c r="H72" s="4" t="s">
        <v>12</v>
      </c>
      <c r="I72" s="5">
        <f>IF($F$9="Monthly",$F$10,0)</f>
        <v>83.252217930602711</v>
      </c>
      <c r="J72" s="5">
        <f t="shared" si="7"/>
        <v>4335.0432041272379</v>
      </c>
      <c r="K72" s="6">
        <f t="shared" si="6"/>
        <v>31.429063229922473</v>
      </c>
      <c r="L72" s="20"/>
      <c r="M72" s="20"/>
      <c r="N72" s="20"/>
      <c r="O72" s="21"/>
    </row>
    <row r="73" spans="4:15">
      <c r="D73" s="19"/>
      <c r="E73" s="20"/>
      <c r="F73" s="20"/>
      <c r="G73" s="20"/>
      <c r="H73" s="4" t="s">
        <v>13</v>
      </c>
      <c r="I73" s="5">
        <f>IF($F$9="Monthly",$F$10,0)</f>
        <v>83.252217930602711</v>
      </c>
      <c r="J73" s="5">
        <f t="shared" si="7"/>
        <v>4418.2954220578404</v>
      </c>
      <c r="K73" s="6">
        <f t="shared" si="6"/>
        <v>32.03264180991934</v>
      </c>
      <c r="L73" s="20"/>
      <c r="M73" s="20"/>
      <c r="N73" s="20"/>
      <c r="O73" s="21"/>
    </row>
    <row r="74" spans="4:15">
      <c r="D74" s="19"/>
      <c r="E74" s="20"/>
      <c r="F74" s="20"/>
      <c r="G74" s="20"/>
      <c r="H74" s="7" t="s">
        <v>21</v>
      </c>
      <c r="I74" s="9"/>
      <c r="J74" s="9">
        <f>J73+SUM(K62:K73)</f>
        <v>4762.850937497079</v>
      </c>
      <c r="K74" s="10"/>
      <c r="L74" s="20"/>
      <c r="M74" s="20"/>
      <c r="N74" s="20"/>
      <c r="O74" s="21"/>
    </row>
    <row r="75" spans="4:15">
      <c r="D75" s="19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1"/>
    </row>
    <row r="76" spans="4:15">
      <c r="D76" s="19"/>
      <c r="E76" s="20"/>
      <c r="F76" s="20"/>
      <c r="G76" s="20"/>
      <c r="H76" s="99" t="s">
        <v>20</v>
      </c>
      <c r="I76" s="100"/>
      <c r="J76" s="100"/>
      <c r="K76" s="101"/>
      <c r="L76" s="20"/>
      <c r="M76" s="20"/>
      <c r="N76" s="20"/>
      <c r="O76" s="21"/>
    </row>
    <row r="77" spans="4:15">
      <c r="D77" s="19"/>
      <c r="E77" s="20"/>
      <c r="F77" s="20"/>
      <c r="G77" s="20"/>
      <c r="H77" s="1" t="s">
        <v>1</v>
      </c>
      <c r="I77" s="2" t="s">
        <v>14</v>
      </c>
      <c r="J77" s="2" t="s">
        <v>0</v>
      </c>
      <c r="K77" s="3" t="s">
        <v>15</v>
      </c>
      <c r="L77" s="20"/>
      <c r="M77" s="20"/>
      <c r="N77" s="20"/>
      <c r="O77" s="21"/>
    </row>
    <row r="78" spans="4:15">
      <c r="D78" s="19"/>
      <c r="E78" s="20"/>
      <c r="F78" s="20"/>
      <c r="G78" s="20"/>
      <c r="H78" s="4" t="s">
        <v>2</v>
      </c>
      <c r="I78" s="5">
        <f>$F$10</f>
        <v>83.252217930602711</v>
      </c>
      <c r="J78" s="5">
        <f>I78+J74</f>
        <v>4846.1031554276815</v>
      </c>
      <c r="K78" s="6">
        <f t="shared" ref="K78:K89" si="8">J78*$K$9/12</f>
        <v>35.134247876850687</v>
      </c>
      <c r="L78" s="20"/>
      <c r="M78" s="20"/>
      <c r="N78" s="20"/>
      <c r="O78" s="21"/>
    </row>
    <row r="79" spans="4:15">
      <c r="D79" s="19"/>
      <c r="E79" s="20"/>
      <c r="F79" s="20"/>
      <c r="G79" s="20"/>
      <c r="H79" s="4" t="s">
        <v>3</v>
      </c>
      <c r="I79" s="5">
        <f>IF($F$9="Monthly",$F$10,0)</f>
        <v>83.252217930602711</v>
      </c>
      <c r="J79" s="5">
        <f>I79+J78</f>
        <v>4929.3553733582839</v>
      </c>
      <c r="K79" s="6">
        <f t="shared" si="8"/>
        <v>35.737826456847557</v>
      </c>
      <c r="L79" s="20"/>
      <c r="M79" s="20"/>
      <c r="N79" s="20"/>
      <c r="O79" s="21"/>
    </row>
    <row r="80" spans="4:15">
      <c r="D80" s="19"/>
      <c r="E80" s="20"/>
      <c r="F80" s="20"/>
      <c r="G80" s="20"/>
      <c r="H80" s="4" t="s">
        <v>4</v>
      </c>
      <c r="I80" s="5">
        <f>IF($F$9="Monthly",$F$10,0)</f>
        <v>83.252217930602711</v>
      </c>
      <c r="J80" s="5">
        <f t="shared" ref="J80:J89" si="9">I80+J79</f>
        <v>5012.6075912888864</v>
      </c>
      <c r="K80" s="6">
        <f t="shared" si="8"/>
        <v>36.341405036844428</v>
      </c>
      <c r="L80" s="20"/>
      <c r="M80" s="20"/>
      <c r="N80" s="20"/>
      <c r="O80" s="21"/>
    </row>
    <row r="81" spans="4:15">
      <c r="D81" s="19"/>
      <c r="E81" s="20"/>
      <c r="F81" s="20"/>
      <c r="G81" s="20"/>
      <c r="H81" s="4" t="s">
        <v>5</v>
      </c>
      <c r="I81" s="5">
        <f>IF(OR($F$9="Monthly",$F$9="Quarterly"),$F$10,0)</f>
        <v>83.252217930602711</v>
      </c>
      <c r="J81" s="5">
        <f t="shared" si="9"/>
        <v>5095.8598092194889</v>
      </c>
      <c r="K81" s="6">
        <f t="shared" si="8"/>
        <v>36.944983616841292</v>
      </c>
      <c r="L81" s="20"/>
      <c r="M81" s="20"/>
      <c r="N81" s="20"/>
      <c r="O81" s="21"/>
    </row>
    <row r="82" spans="4:15">
      <c r="D82" s="19"/>
      <c r="E82" s="20"/>
      <c r="F82" s="20"/>
      <c r="G82" s="20"/>
      <c r="H82" s="4" t="s">
        <v>6</v>
      </c>
      <c r="I82" s="5">
        <f>IF($F$9="Monthly",$F$10,0)</f>
        <v>83.252217930602711</v>
      </c>
      <c r="J82" s="5">
        <f t="shared" si="9"/>
        <v>5179.1120271500913</v>
      </c>
      <c r="K82" s="6">
        <f t="shared" si="8"/>
        <v>37.548562196838155</v>
      </c>
      <c r="L82" s="20"/>
      <c r="M82" s="20"/>
      <c r="N82" s="20"/>
      <c r="O82" s="21"/>
    </row>
    <row r="83" spans="4:15">
      <c r="D83" s="19"/>
      <c r="E83" s="20"/>
      <c r="F83" s="20"/>
      <c r="G83" s="20"/>
      <c r="H83" s="4" t="s">
        <v>7</v>
      </c>
      <c r="I83" s="5">
        <f>IF($F$9="Monthly",$F$10,0)</f>
        <v>83.252217930602711</v>
      </c>
      <c r="J83" s="5">
        <f t="shared" si="9"/>
        <v>5262.3642450806938</v>
      </c>
      <c r="K83" s="6">
        <f t="shared" si="8"/>
        <v>38.152140776835026</v>
      </c>
      <c r="L83" s="20"/>
      <c r="M83" s="20"/>
      <c r="N83" s="20"/>
      <c r="O83" s="21"/>
    </row>
    <row r="84" spans="4:15">
      <c r="D84" s="19"/>
      <c r="E84" s="20"/>
      <c r="F84" s="20"/>
      <c r="G84" s="20"/>
      <c r="H84" s="4" t="s">
        <v>8</v>
      </c>
      <c r="I84" s="5">
        <f>IF($F$9&lt;&gt;"Annual",$F$10,0)</f>
        <v>83.252217930602711</v>
      </c>
      <c r="J84" s="5">
        <f t="shared" si="9"/>
        <v>5345.6164630112962</v>
      </c>
      <c r="K84" s="6">
        <f t="shared" si="8"/>
        <v>38.755719356831897</v>
      </c>
      <c r="L84" s="20"/>
      <c r="M84" s="20"/>
      <c r="N84" s="20"/>
      <c r="O84" s="21"/>
    </row>
    <row r="85" spans="4:15">
      <c r="D85" s="19"/>
      <c r="E85" s="20"/>
      <c r="F85" s="20"/>
      <c r="G85" s="20"/>
      <c r="H85" s="4" t="s">
        <v>9</v>
      </c>
      <c r="I85" s="5">
        <f>IF($F$9="Monthly",$F$10,0)</f>
        <v>83.252217930602711</v>
      </c>
      <c r="J85" s="5">
        <f t="shared" si="9"/>
        <v>5428.8686809418987</v>
      </c>
      <c r="K85" s="6">
        <f t="shared" si="8"/>
        <v>39.35929793682876</v>
      </c>
      <c r="L85" s="20"/>
      <c r="M85" s="20"/>
      <c r="N85" s="20"/>
      <c r="O85" s="21"/>
    </row>
    <row r="86" spans="4:15">
      <c r="D86" s="19"/>
      <c r="E86" s="20"/>
      <c r="F86" s="20"/>
      <c r="G86" s="20"/>
      <c r="H86" s="4" t="s">
        <v>10</v>
      </c>
      <c r="I86" s="5">
        <f>IF($F$9="Monthly",$F$10,0)</f>
        <v>83.252217930602711</v>
      </c>
      <c r="J86" s="5">
        <f t="shared" si="9"/>
        <v>5512.1208988725011</v>
      </c>
      <c r="K86" s="6">
        <f t="shared" si="8"/>
        <v>39.962876516825631</v>
      </c>
      <c r="L86" s="20"/>
      <c r="M86" s="20"/>
      <c r="N86" s="20"/>
      <c r="O86" s="21"/>
    </row>
    <row r="87" spans="4:15">
      <c r="D87" s="19"/>
      <c r="E87" s="20"/>
      <c r="F87" s="20"/>
      <c r="G87" s="20"/>
      <c r="H87" s="4" t="s">
        <v>11</v>
      </c>
      <c r="I87" s="5">
        <f>IF(OR($F$9="Monthly",$F$9="Quarterly"),$F$10,0)</f>
        <v>83.252217930602711</v>
      </c>
      <c r="J87" s="5">
        <f t="shared" si="9"/>
        <v>5595.3731168031036</v>
      </c>
      <c r="K87" s="6">
        <f t="shared" si="8"/>
        <v>40.566455096822502</v>
      </c>
      <c r="L87" s="20"/>
      <c r="M87" s="20"/>
      <c r="N87" s="20"/>
      <c r="O87" s="21"/>
    </row>
    <row r="88" spans="4:15">
      <c r="D88" s="19"/>
      <c r="E88" s="20"/>
      <c r="F88" s="20"/>
      <c r="G88" s="20"/>
      <c r="H88" s="4" t="s">
        <v>12</v>
      </c>
      <c r="I88" s="5">
        <f>IF($F$9="Monthly",$F$10,0)</f>
        <v>83.252217930602711</v>
      </c>
      <c r="J88" s="5">
        <f t="shared" si="9"/>
        <v>5678.625334733706</v>
      </c>
      <c r="K88" s="6">
        <f t="shared" si="8"/>
        <v>41.170033676819365</v>
      </c>
      <c r="L88" s="20"/>
      <c r="M88" s="20"/>
      <c r="N88" s="20"/>
      <c r="O88" s="21"/>
    </row>
    <row r="89" spans="4:15">
      <c r="D89" s="19"/>
      <c r="E89" s="20"/>
      <c r="F89" s="20"/>
      <c r="G89" s="20"/>
      <c r="H89" s="4" t="s">
        <v>13</v>
      </c>
      <c r="I89" s="5">
        <f>IF($F$9="Monthly",$F$10,0)</f>
        <v>83.252217930602711</v>
      </c>
      <c r="J89" s="5">
        <f t="shared" si="9"/>
        <v>5761.8775526643085</v>
      </c>
      <c r="K89" s="6">
        <f t="shared" si="8"/>
        <v>41.773612256816236</v>
      </c>
      <c r="L89" s="20"/>
      <c r="M89" s="20"/>
      <c r="N89" s="20"/>
      <c r="O89" s="21"/>
    </row>
    <row r="90" spans="4:15">
      <c r="D90" s="19"/>
      <c r="E90" s="20"/>
      <c r="F90" s="20"/>
      <c r="G90" s="20"/>
      <c r="H90" s="7" t="s">
        <v>21</v>
      </c>
      <c r="I90" s="9"/>
      <c r="J90" s="9">
        <f>J89+SUM(K78:K89)</f>
        <v>6223.3247134663097</v>
      </c>
      <c r="K90" s="10"/>
      <c r="L90" s="20"/>
      <c r="M90" s="20"/>
      <c r="N90" s="20"/>
      <c r="O90" s="21"/>
    </row>
    <row r="91" spans="4:15">
      <c r="D91" s="19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1"/>
    </row>
    <row r="92" spans="4:15">
      <c r="D92" s="19"/>
      <c r="E92" s="20"/>
      <c r="F92" s="20"/>
      <c r="G92" s="20"/>
      <c r="H92" s="99" t="s">
        <v>22</v>
      </c>
      <c r="I92" s="100"/>
      <c r="J92" s="100"/>
      <c r="K92" s="101"/>
      <c r="L92" s="20"/>
      <c r="M92" s="20"/>
      <c r="N92" s="20"/>
      <c r="O92" s="21"/>
    </row>
    <row r="93" spans="4:15">
      <c r="D93" s="19"/>
      <c r="E93" s="20"/>
      <c r="F93" s="20"/>
      <c r="G93" s="20"/>
      <c r="H93" s="1" t="s">
        <v>1</v>
      </c>
      <c r="I93" s="2" t="s">
        <v>14</v>
      </c>
      <c r="J93" s="2" t="s">
        <v>0</v>
      </c>
      <c r="K93" s="3" t="s">
        <v>15</v>
      </c>
      <c r="L93" s="20"/>
      <c r="M93" s="20"/>
      <c r="N93" s="20"/>
      <c r="O93" s="21"/>
    </row>
    <row r="94" spans="4:15">
      <c r="D94" s="19"/>
      <c r="E94" s="20"/>
      <c r="F94" s="20"/>
      <c r="G94" s="20"/>
      <c r="H94" s="4" t="s">
        <v>2</v>
      </c>
      <c r="I94" s="5">
        <f>$F$10</f>
        <v>83.252217930602711</v>
      </c>
      <c r="J94" s="5">
        <f>I94+J90</f>
        <v>6306.5769313969122</v>
      </c>
      <c r="K94" s="6">
        <f t="shared" ref="K94:K105" si="10">J94*$K$9/12</f>
        <v>45.722682752627613</v>
      </c>
      <c r="L94" s="20"/>
      <c r="M94" s="20"/>
      <c r="N94" s="20"/>
      <c r="O94" s="21"/>
    </row>
    <row r="95" spans="4:15">
      <c r="D95" s="19"/>
      <c r="E95" s="20"/>
      <c r="F95" s="20"/>
      <c r="G95" s="20"/>
      <c r="H95" s="4" t="s">
        <v>3</v>
      </c>
      <c r="I95" s="5">
        <f>IF($F$9="Monthly",$F$10,0)</f>
        <v>83.252217930602711</v>
      </c>
      <c r="J95" s="5">
        <f>I95+J94</f>
        <v>6389.8291493275146</v>
      </c>
      <c r="K95" s="6">
        <f t="shared" si="10"/>
        <v>46.326261332624476</v>
      </c>
      <c r="L95" s="20"/>
      <c r="M95" s="20"/>
      <c r="N95" s="20"/>
      <c r="O95" s="21"/>
    </row>
    <row r="96" spans="4:15">
      <c r="D96" s="19"/>
      <c r="E96" s="20"/>
      <c r="F96" s="20"/>
      <c r="G96" s="20"/>
      <c r="H96" s="4" t="s">
        <v>4</v>
      </c>
      <c r="I96" s="5">
        <f>IF($F$9="Monthly",$F$10,0)</f>
        <v>83.252217930602711</v>
      </c>
      <c r="J96" s="5">
        <f t="shared" ref="J96:J105" si="11">I96+J95</f>
        <v>6473.0813672581171</v>
      </c>
      <c r="K96" s="6">
        <f t="shared" si="10"/>
        <v>46.92983991262134</v>
      </c>
      <c r="L96" s="20"/>
      <c r="M96" s="20"/>
      <c r="N96" s="20"/>
      <c r="O96" s="21"/>
    </row>
    <row r="97" spans="4:15">
      <c r="D97" s="19"/>
      <c r="E97" s="20"/>
      <c r="F97" s="20"/>
      <c r="G97" s="20"/>
      <c r="H97" s="4" t="s">
        <v>5</v>
      </c>
      <c r="I97" s="5">
        <f>IF(OR($F$9="Monthly",$F$9="Quarterly"),$F$10,0)</f>
        <v>83.252217930602711</v>
      </c>
      <c r="J97" s="5">
        <f t="shared" si="11"/>
        <v>6556.3335851887196</v>
      </c>
      <c r="K97" s="6">
        <f t="shared" si="10"/>
        <v>47.53341849261821</v>
      </c>
      <c r="L97" s="20"/>
      <c r="M97" s="20"/>
      <c r="N97" s="20"/>
      <c r="O97" s="21"/>
    </row>
    <row r="98" spans="4:15">
      <c r="D98" s="19"/>
      <c r="E98" s="20"/>
      <c r="F98" s="20"/>
      <c r="G98" s="20"/>
      <c r="H98" s="4" t="s">
        <v>6</v>
      </c>
      <c r="I98" s="5">
        <f>IF($F$9="Monthly",$F$10,0)</f>
        <v>83.252217930602711</v>
      </c>
      <c r="J98" s="5">
        <f t="shared" si="11"/>
        <v>6639.585803119322</v>
      </c>
      <c r="K98" s="6">
        <f t="shared" si="10"/>
        <v>48.136997072615081</v>
      </c>
      <c r="L98" s="20"/>
      <c r="M98" s="20"/>
      <c r="N98" s="20"/>
      <c r="O98" s="21"/>
    </row>
    <row r="99" spans="4:15">
      <c r="D99" s="19"/>
      <c r="E99" s="20"/>
      <c r="F99" s="20"/>
      <c r="G99" s="20"/>
      <c r="H99" s="4" t="s">
        <v>7</v>
      </c>
      <c r="I99" s="5">
        <f>IF($F$9="Monthly",$F$10,0)</f>
        <v>83.252217930602711</v>
      </c>
      <c r="J99" s="5">
        <f t="shared" si="11"/>
        <v>6722.8380210499245</v>
      </c>
      <c r="K99" s="6">
        <f t="shared" si="10"/>
        <v>48.740575652611945</v>
      </c>
      <c r="L99" s="20"/>
      <c r="M99" s="20"/>
      <c r="N99" s="20"/>
      <c r="O99" s="21"/>
    </row>
    <row r="100" spans="4:15">
      <c r="D100" s="19"/>
      <c r="E100" s="20"/>
      <c r="F100" s="20"/>
      <c r="G100" s="20"/>
      <c r="H100" s="4" t="s">
        <v>8</v>
      </c>
      <c r="I100" s="5">
        <f>IF($F$9&lt;&gt;"Annual",$F$10,0)</f>
        <v>83.252217930602711</v>
      </c>
      <c r="J100" s="5">
        <f t="shared" si="11"/>
        <v>6806.0902389805269</v>
      </c>
      <c r="K100" s="6">
        <f t="shared" si="10"/>
        <v>49.344154232608815</v>
      </c>
      <c r="L100" s="20"/>
      <c r="M100" s="20"/>
      <c r="N100" s="20"/>
      <c r="O100" s="21"/>
    </row>
    <row r="101" spans="4:15">
      <c r="D101" s="19"/>
      <c r="E101" s="20"/>
      <c r="F101" s="20"/>
      <c r="G101" s="20"/>
      <c r="H101" s="4" t="s">
        <v>9</v>
      </c>
      <c r="I101" s="5">
        <f>IF($F$9="Monthly",$F$10,0)</f>
        <v>83.252217930602711</v>
      </c>
      <c r="J101" s="5">
        <f t="shared" si="11"/>
        <v>6889.3424569111294</v>
      </c>
      <c r="K101" s="6">
        <f t="shared" si="10"/>
        <v>49.947732812605686</v>
      </c>
      <c r="L101" s="20"/>
      <c r="M101" s="20"/>
      <c r="N101" s="20"/>
      <c r="O101" s="21"/>
    </row>
    <row r="102" spans="4:15">
      <c r="D102" s="19"/>
      <c r="E102" s="20"/>
      <c r="F102" s="20"/>
      <c r="G102" s="20"/>
      <c r="H102" s="4" t="s">
        <v>10</v>
      </c>
      <c r="I102" s="5">
        <f>IF($F$9="Monthly",$F$10,0)</f>
        <v>83.252217930602711</v>
      </c>
      <c r="J102" s="5">
        <f t="shared" si="11"/>
        <v>6972.5946748417318</v>
      </c>
      <c r="K102" s="6">
        <f t="shared" si="10"/>
        <v>50.55131139260255</v>
      </c>
      <c r="L102" s="20"/>
      <c r="M102" s="20"/>
      <c r="N102" s="20"/>
      <c r="O102" s="21"/>
    </row>
    <row r="103" spans="4:15">
      <c r="D103" s="19"/>
      <c r="E103" s="20"/>
      <c r="F103" s="20"/>
      <c r="G103" s="20"/>
      <c r="H103" s="4" t="s">
        <v>11</v>
      </c>
      <c r="I103" s="5">
        <f>IF(OR($F$9="Monthly",$F$9="Quarterly"),$F$10,0)</f>
        <v>83.252217930602711</v>
      </c>
      <c r="J103" s="5">
        <f t="shared" si="11"/>
        <v>7055.8468927723343</v>
      </c>
      <c r="K103" s="6">
        <f t="shared" si="10"/>
        <v>51.15488997259942</v>
      </c>
      <c r="L103" s="20"/>
      <c r="M103" s="20"/>
      <c r="N103" s="20"/>
      <c r="O103" s="21"/>
    </row>
    <row r="104" spans="4:15">
      <c r="D104" s="19"/>
      <c r="E104" s="20"/>
      <c r="F104" s="20"/>
      <c r="G104" s="20"/>
      <c r="H104" s="4" t="s">
        <v>12</v>
      </c>
      <c r="I104" s="5">
        <f>IF($F$9="Monthly",$F$10,0)</f>
        <v>83.252217930602711</v>
      </c>
      <c r="J104" s="5">
        <f t="shared" si="11"/>
        <v>7139.0991107029367</v>
      </c>
      <c r="K104" s="6">
        <f t="shared" si="10"/>
        <v>51.758468552596291</v>
      </c>
      <c r="L104" s="20"/>
      <c r="M104" s="20"/>
      <c r="N104" s="20"/>
      <c r="O104" s="21"/>
    </row>
    <row r="105" spans="4:15">
      <c r="D105" s="19"/>
      <c r="E105" s="20"/>
      <c r="F105" s="20"/>
      <c r="G105" s="20"/>
      <c r="H105" s="4" t="s">
        <v>13</v>
      </c>
      <c r="I105" s="5">
        <f>IF($F$9="Monthly",$F$10,0)</f>
        <v>83.252217930602711</v>
      </c>
      <c r="J105" s="5">
        <f t="shared" si="11"/>
        <v>7222.3513286335392</v>
      </c>
      <c r="K105" s="6">
        <f t="shared" si="10"/>
        <v>52.362047132593155</v>
      </c>
      <c r="L105" s="20"/>
      <c r="M105" s="20"/>
      <c r="N105" s="20"/>
      <c r="O105" s="21"/>
    </row>
    <row r="106" spans="4:15">
      <c r="D106" s="19"/>
      <c r="E106" s="20"/>
      <c r="F106" s="20"/>
      <c r="G106" s="20"/>
      <c r="H106" s="7" t="s">
        <v>21</v>
      </c>
      <c r="I106" s="9"/>
      <c r="J106" s="9">
        <f>J105+SUM(K94:K105)</f>
        <v>7810.8597079448637</v>
      </c>
      <c r="K106" s="10"/>
      <c r="L106" s="20"/>
      <c r="M106" s="20"/>
      <c r="N106" s="20"/>
      <c r="O106" s="21"/>
    </row>
    <row r="107" spans="4:15">
      <c r="D107" s="19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1"/>
    </row>
    <row r="108" spans="4:15">
      <c r="D108" s="19"/>
      <c r="E108" s="20"/>
      <c r="F108" s="20"/>
      <c r="G108" s="20"/>
      <c r="H108" s="99" t="s">
        <v>23</v>
      </c>
      <c r="I108" s="100"/>
      <c r="J108" s="100"/>
      <c r="K108" s="101"/>
      <c r="L108" s="20"/>
      <c r="M108" s="20"/>
      <c r="N108" s="20"/>
      <c r="O108" s="21"/>
    </row>
    <row r="109" spans="4:15">
      <c r="D109" s="19"/>
      <c r="E109" s="20"/>
      <c r="F109" s="20"/>
      <c r="G109" s="20"/>
      <c r="H109" s="1" t="s">
        <v>1</v>
      </c>
      <c r="I109" s="2" t="s">
        <v>14</v>
      </c>
      <c r="J109" s="2" t="s">
        <v>0</v>
      </c>
      <c r="K109" s="3" t="s">
        <v>15</v>
      </c>
      <c r="L109" s="20"/>
      <c r="M109" s="20"/>
      <c r="N109" s="20"/>
      <c r="O109" s="21"/>
    </row>
    <row r="110" spans="4:15">
      <c r="D110" s="19"/>
      <c r="E110" s="20"/>
      <c r="F110" s="20"/>
      <c r="G110" s="20"/>
      <c r="H110" s="4" t="s">
        <v>2</v>
      </c>
      <c r="I110" s="5">
        <f>$F$10</f>
        <v>83.252217930602711</v>
      </c>
      <c r="J110" s="5">
        <f>I110+J106</f>
        <v>7894.1119258754661</v>
      </c>
      <c r="K110" s="6">
        <f t="shared" ref="K110:K121" si="12">J110*$K$9/12</f>
        <v>57.232311462597124</v>
      </c>
      <c r="L110" s="20"/>
      <c r="M110" s="20"/>
      <c r="N110" s="20"/>
      <c r="O110" s="21"/>
    </row>
    <row r="111" spans="4:15">
      <c r="D111" s="19"/>
      <c r="E111" s="20"/>
      <c r="F111" s="20"/>
      <c r="G111" s="20"/>
      <c r="H111" s="4" t="s">
        <v>3</v>
      </c>
      <c r="I111" s="5">
        <f>IF($F$9="Monthly",$F$10,0)</f>
        <v>83.252217930602711</v>
      </c>
      <c r="J111" s="5">
        <f>I111+J110</f>
        <v>7977.3641438060686</v>
      </c>
      <c r="K111" s="6">
        <f t="shared" si="12"/>
        <v>57.835890042593995</v>
      </c>
      <c r="L111" s="20"/>
      <c r="M111" s="20"/>
      <c r="N111" s="20"/>
      <c r="O111" s="21"/>
    </row>
    <row r="112" spans="4:15">
      <c r="D112" s="19"/>
      <c r="E112" s="20"/>
      <c r="F112" s="20"/>
      <c r="G112" s="20"/>
      <c r="H112" s="4" t="s">
        <v>4</v>
      </c>
      <c r="I112" s="5">
        <f>IF($F$9="Monthly",$F$10,0)</f>
        <v>83.252217930602711</v>
      </c>
      <c r="J112" s="5">
        <f t="shared" ref="J112:J121" si="13">I112+J111</f>
        <v>8060.616361736671</v>
      </c>
      <c r="K112" s="6">
        <f t="shared" si="12"/>
        <v>58.439468622590859</v>
      </c>
      <c r="L112" s="20"/>
      <c r="M112" s="20"/>
      <c r="N112" s="20"/>
      <c r="O112" s="21"/>
    </row>
    <row r="113" spans="4:15">
      <c r="D113" s="19"/>
      <c r="E113" s="20"/>
      <c r="F113" s="20"/>
      <c r="G113" s="20"/>
      <c r="H113" s="4" t="s">
        <v>5</v>
      </c>
      <c r="I113" s="5">
        <f>IF(OR($F$9="Monthly",$F$9="Quarterly"),$F$10,0)</f>
        <v>83.252217930602711</v>
      </c>
      <c r="J113" s="5">
        <f t="shared" si="13"/>
        <v>8143.8685796672735</v>
      </c>
      <c r="K113" s="6">
        <f t="shared" si="12"/>
        <v>59.043047202587729</v>
      </c>
      <c r="L113" s="20"/>
      <c r="M113" s="20"/>
      <c r="N113" s="20"/>
      <c r="O113" s="21"/>
    </row>
    <row r="114" spans="4:15">
      <c r="D114" s="19"/>
      <c r="E114" s="20"/>
      <c r="F114" s="20"/>
      <c r="G114" s="20"/>
      <c r="H114" s="4" t="s">
        <v>6</v>
      </c>
      <c r="I114" s="5">
        <f>IF($F$9="Monthly",$F$10,0)</f>
        <v>83.252217930602711</v>
      </c>
      <c r="J114" s="5">
        <f t="shared" si="13"/>
        <v>8227.1207975978759</v>
      </c>
      <c r="K114" s="6">
        <f t="shared" si="12"/>
        <v>59.6466257825846</v>
      </c>
      <c r="L114" s="20"/>
      <c r="M114" s="20"/>
      <c r="N114" s="20"/>
      <c r="O114" s="21"/>
    </row>
    <row r="115" spans="4:15">
      <c r="D115" s="19"/>
      <c r="E115" s="20"/>
      <c r="F115" s="20"/>
      <c r="G115" s="20"/>
      <c r="H115" s="4" t="s">
        <v>7</v>
      </c>
      <c r="I115" s="5">
        <f>IF($F$9="Monthly",$F$10,0)</f>
        <v>83.252217930602711</v>
      </c>
      <c r="J115" s="5">
        <f t="shared" si="13"/>
        <v>8310.3730155284793</v>
      </c>
      <c r="K115" s="6">
        <f t="shared" si="12"/>
        <v>60.250204362581478</v>
      </c>
      <c r="L115" s="20"/>
      <c r="M115" s="20"/>
      <c r="N115" s="20"/>
      <c r="O115" s="21"/>
    </row>
    <row r="116" spans="4:15">
      <c r="D116" s="19"/>
      <c r="E116" s="20"/>
      <c r="F116" s="20"/>
      <c r="G116" s="20"/>
      <c r="H116" s="4" t="s">
        <v>8</v>
      </c>
      <c r="I116" s="5">
        <f>IF($F$9&lt;&gt;"Annual",$F$10,0)</f>
        <v>83.252217930602711</v>
      </c>
      <c r="J116" s="5">
        <f t="shared" si="13"/>
        <v>8393.6252334590827</v>
      </c>
      <c r="K116" s="6">
        <f t="shared" si="12"/>
        <v>60.853782942578341</v>
      </c>
      <c r="L116" s="20"/>
      <c r="M116" s="20"/>
      <c r="N116" s="20"/>
      <c r="O116" s="21"/>
    </row>
    <row r="117" spans="4:15">
      <c r="D117" s="19"/>
      <c r="E117" s="20"/>
      <c r="F117" s="20"/>
      <c r="G117" s="20"/>
      <c r="H117" s="4" t="s">
        <v>9</v>
      </c>
      <c r="I117" s="5">
        <f>IF($F$9="Monthly",$F$10,0)</f>
        <v>83.252217930602711</v>
      </c>
      <c r="J117" s="5">
        <f t="shared" si="13"/>
        <v>8476.877451389686</v>
      </c>
      <c r="K117" s="6">
        <f t="shared" si="12"/>
        <v>61.457361522575219</v>
      </c>
      <c r="L117" s="20"/>
      <c r="M117" s="20"/>
      <c r="N117" s="20"/>
      <c r="O117" s="21"/>
    </row>
    <row r="118" spans="4:15">
      <c r="D118" s="19"/>
      <c r="E118" s="20"/>
      <c r="F118" s="20"/>
      <c r="G118" s="20"/>
      <c r="H118" s="4" t="s">
        <v>10</v>
      </c>
      <c r="I118" s="5">
        <f>IF($F$9="Monthly",$F$10,0)</f>
        <v>83.252217930602711</v>
      </c>
      <c r="J118" s="5">
        <f t="shared" si="13"/>
        <v>8560.1296693202894</v>
      </c>
      <c r="K118" s="6">
        <f t="shared" si="12"/>
        <v>62.06094010257209</v>
      </c>
      <c r="L118" s="20"/>
      <c r="M118" s="20"/>
      <c r="N118" s="20"/>
      <c r="O118" s="21"/>
    </row>
    <row r="119" spans="4:15">
      <c r="D119" s="19"/>
      <c r="E119" s="20"/>
      <c r="F119" s="20"/>
      <c r="G119" s="20"/>
      <c r="H119" s="4" t="s">
        <v>11</v>
      </c>
      <c r="I119" s="5">
        <f>IF(OR($F$9="Monthly",$F$9="Quarterly"),$F$10,0)</f>
        <v>83.252217930602711</v>
      </c>
      <c r="J119" s="5">
        <f t="shared" si="13"/>
        <v>8643.3818872508928</v>
      </c>
      <c r="K119" s="6">
        <f t="shared" si="12"/>
        <v>62.664518682568968</v>
      </c>
      <c r="L119" s="20"/>
      <c r="M119" s="20"/>
      <c r="N119" s="20"/>
      <c r="O119" s="21"/>
    </row>
    <row r="120" spans="4:15">
      <c r="D120" s="19"/>
      <c r="E120" s="20"/>
      <c r="F120" s="20"/>
      <c r="G120" s="20"/>
      <c r="H120" s="4" t="s">
        <v>12</v>
      </c>
      <c r="I120" s="5">
        <f>IF($F$9="Monthly",$F$10,0)</f>
        <v>83.252217930602711</v>
      </c>
      <c r="J120" s="5">
        <f t="shared" si="13"/>
        <v>8726.6341051814961</v>
      </c>
      <c r="K120" s="6">
        <f t="shared" si="12"/>
        <v>63.268097262565846</v>
      </c>
      <c r="L120" s="20"/>
      <c r="M120" s="20"/>
      <c r="N120" s="20"/>
      <c r="O120" s="21"/>
    </row>
    <row r="121" spans="4:15">
      <c r="D121" s="19"/>
      <c r="E121" s="20"/>
      <c r="F121" s="20"/>
      <c r="G121" s="20"/>
      <c r="H121" s="4" t="s">
        <v>13</v>
      </c>
      <c r="I121" s="5">
        <f>IF($F$9="Monthly",$F$10,0)</f>
        <v>83.252217930602711</v>
      </c>
      <c r="J121" s="5">
        <f t="shared" si="13"/>
        <v>8809.8863231120995</v>
      </c>
      <c r="K121" s="6">
        <f t="shared" si="12"/>
        <v>63.871675842562716</v>
      </c>
      <c r="L121" s="20"/>
      <c r="M121" s="20"/>
      <c r="N121" s="20"/>
      <c r="O121" s="21"/>
    </row>
    <row r="122" spans="4:15">
      <c r="D122" s="19"/>
      <c r="E122" s="20"/>
      <c r="F122" s="20"/>
      <c r="G122" s="20"/>
      <c r="H122" s="7" t="s">
        <v>21</v>
      </c>
      <c r="I122" s="9"/>
      <c r="J122" s="9">
        <f>J121+SUM(K110:K121)</f>
        <v>9536.5102469430585</v>
      </c>
      <c r="K122" s="10"/>
      <c r="L122" s="20"/>
      <c r="M122" s="20"/>
      <c r="N122" s="20"/>
      <c r="O122" s="21"/>
    </row>
    <row r="123" spans="4:15">
      <c r="D123" s="19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1"/>
    </row>
    <row r="124" spans="4:15">
      <c r="D124" s="19"/>
      <c r="E124" s="20"/>
      <c r="F124" s="20"/>
      <c r="G124" s="20"/>
      <c r="H124" s="99" t="s">
        <v>24</v>
      </c>
      <c r="I124" s="100"/>
      <c r="J124" s="100"/>
      <c r="K124" s="101"/>
      <c r="L124" s="20"/>
      <c r="M124" s="20"/>
      <c r="N124" s="20"/>
      <c r="O124" s="21"/>
    </row>
    <row r="125" spans="4:15">
      <c r="D125" s="19"/>
      <c r="E125" s="20"/>
      <c r="F125" s="20"/>
      <c r="G125" s="20"/>
      <c r="H125" s="1" t="s">
        <v>1</v>
      </c>
      <c r="I125" s="2" t="s">
        <v>14</v>
      </c>
      <c r="J125" s="2" t="s">
        <v>0</v>
      </c>
      <c r="K125" s="3" t="s">
        <v>15</v>
      </c>
      <c r="L125" s="20"/>
      <c r="M125" s="20"/>
      <c r="N125" s="20"/>
      <c r="O125" s="21"/>
    </row>
    <row r="126" spans="4:15">
      <c r="D126" s="19"/>
      <c r="E126" s="20"/>
      <c r="F126" s="20"/>
      <c r="G126" s="20"/>
      <c r="H126" s="4" t="s">
        <v>2</v>
      </c>
      <c r="I126" s="5">
        <f>$F$10</f>
        <v>83.252217930602711</v>
      </c>
      <c r="J126" s="5">
        <f>I126+J122</f>
        <v>9619.7624648736619</v>
      </c>
      <c r="K126" s="6">
        <f t="shared" ref="K126:K137" si="14">J126*$K$9/12</f>
        <v>69.74327787033404</v>
      </c>
      <c r="L126" s="20"/>
      <c r="M126" s="20"/>
      <c r="N126" s="20"/>
      <c r="O126" s="21"/>
    </row>
    <row r="127" spans="4:15">
      <c r="D127" s="19"/>
      <c r="E127" s="20"/>
      <c r="F127" s="20"/>
      <c r="G127" s="20"/>
      <c r="H127" s="4" t="s">
        <v>3</v>
      </c>
      <c r="I127" s="5">
        <f>IF($F$9="Monthly",$F$10,0)</f>
        <v>83.252217930602711</v>
      </c>
      <c r="J127" s="5">
        <f>I127+J126</f>
        <v>9703.0146828042652</v>
      </c>
      <c r="K127" s="6">
        <f t="shared" si="14"/>
        <v>70.346856450330918</v>
      </c>
      <c r="L127" s="20"/>
      <c r="M127" s="20"/>
      <c r="N127" s="20"/>
      <c r="O127" s="21"/>
    </row>
    <row r="128" spans="4:15">
      <c r="D128" s="19"/>
      <c r="E128" s="20"/>
      <c r="F128" s="20"/>
      <c r="G128" s="20"/>
      <c r="H128" s="4" t="s">
        <v>4</v>
      </c>
      <c r="I128" s="5">
        <f>IF($F$9="Monthly",$F$10,0)</f>
        <v>83.252217930602711</v>
      </c>
      <c r="J128" s="5">
        <f t="shared" ref="J128:J137" si="15">I128+J127</f>
        <v>9786.2669007348686</v>
      </c>
      <c r="K128" s="6">
        <f t="shared" si="14"/>
        <v>70.950435030327796</v>
      </c>
      <c r="L128" s="20"/>
      <c r="M128" s="20"/>
      <c r="N128" s="20"/>
      <c r="O128" s="21"/>
    </row>
    <row r="129" spans="4:15">
      <c r="D129" s="19"/>
      <c r="E129" s="20"/>
      <c r="F129" s="20"/>
      <c r="G129" s="20"/>
      <c r="H129" s="4" t="s">
        <v>5</v>
      </c>
      <c r="I129" s="5">
        <f>IF(OR($F$9="Monthly",$F$9="Quarterly"),$F$10,0)</f>
        <v>83.252217930602711</v>
      </c>
      <c r="J129" s="5">
        <f t="shared" si="15"/>
        <v>9869.519118665472</v>
      </c>
      <c r="K129" s="6">
        <f t="shared" si="14"/>
        <v>71.554013610324674</v>
      </c>
      <c r="L129" s="20"/>
      <c r="M129" s="20"/>
      <c r="N129" s="20"/>
      <c r="O129" s="21"/>
    </row>
    <row r="130" spans="4:15">
      <c r="D130" s="19"/>
      <c r="E130" s="20"/>
      <c r="F130" s="20"/>
      <c r="G130" s="20"/>
      <c r="H130" s="4" t="s">
        <v>6</v>
      </c>
      <c r="I130" s="5">
        <f>IF($F$9="Monthly",$F$10,0)</f>
        <v>83.252217930602711</v>
      </c>
      <c r="J130" s="5">
        <f t="shared" si="15"/>
        <v>9952.7713365960753</v>
      </c>
      <c r="K130" s="6">
        <f t="shared" si="14"/>
        <v>72.157592190321537</v>
      </c>
      <c r="L130" s="20"/>
      <c r="M130" s="20"/>
      <c r="N130" s="20"/>
      <c r="O130" s="21"/>
    </row>
    <row r="131" spans="4:15">
      <c r="D131" s="19"/>
      <c r="E131" s="20"/>
      <c r="F131" s="20"/>
      <c r="G131" s="20"/>
      <c r="H131" s="4" t="s">
        <v>7</v>
      </c>
      <c r="I131" s="5">
        <f>IF($F$9="Monthly",$F$10,0)</f>
        <v>83.252217930602711</v>
      </c>
      <c r="J131" s="5">
        <f t="shared" si="15"/>
        <v>10036.023554526679</v>
      </c>
      <c r="K131" s="6">
        <f t="shared" si="14"/>
        <v>72.761170770318415</v>
      </c>
      <c r="L131" s="20"/>
      <c r="M131" s="20"/>
      <c r="N131" s="20"/>
      <c r="O131" s="21"/>
    </row>
    <row r="132" spans="4:15">
      <c r="D132" s="19"/>
      <c r="E132" s="20"/>
      <c r="F132" s="20"/>
      <c r="G132" s="20"/>
      <c r="H132" s="4" t="s">
        <v>8</v>
      </c>
      <c r="I132" s="5">
        <f>IF($F$9&lt;&gt;"Annual",$F$10,0)</f>
        <v>83.252217930602711</v>
      </c>
      <c r="J132" s="5">
        <f t="shared" si="15"/>
        <v>10119.275772457282</v>
      </c>
      <c r="K132" s="6">
        <f t="shared" si="14"/>
        <v>73.364749350315293</v>
      </c>
      <c r="L132" s="20"/>
      <c r="M132" s="20"/>
      <c r="N132" s="20"/>
      <c r="O132" s="21"/>
    </row>
    <row r="133" spans="4:15">
      <c r="D133" s="19"/>
      <c r="E133" s="20"/>
      <c r="F133" s="20"/>
      <c r="G133" s="20"/>
      <c r="H133" s="4" t="s">
        <v>9</v>
      </c>
      <c r="I133" s="5">
        <f>IF($F$9="Monthly",$F$10,0)</f>
        <v>83.252217930602711</v>
      </c>
      <c r="J133" s="5">
        <f t="shared" si="15"/>
        <v>10202.527990387885</v>
      </c>
      <c r="K133" s="6">
        <f t="shared" si="14"/>
        <v>73.968327930312157</v>
      </c>
      <c r="L133" s="20"/>
      <c r="M133" s="20"/>
      <c r="N133" s="20"/>
      <c r="O133" s="21"/>
    </row>
    <row r="134" spans="4:15">
      <c r="D134" s="19"/>
      <c r="E134" s="20"/>
      <c r="F134" s="20"/>
      <c r="G134" s="20"/>
      <c r="H134" s="4" t="s">
        <v>10</v>
      </c>
      <c r="I134" s="5">
        <f>IF($F$9="Monthly",$F$10,0)</f>
        <v>83.252217930602711</v>
      </c>
      <c r="J134" s="5">
        <f t="shared" si="15"/>
        <v>10285.780208318489</v>
      </c>
      <c r="K134" s="6">
        <f t="shared" si="14"/>
        <v>74.571906510309034</v>
      </c>
      <c r="L134" s="20"/>
      <c r="M134" s="20"/>
      <c r="N134" s="20"/>
      <c r="O134" s="21"/>
    </row>
    <row r="135" spans="4:15">
      <c r="D135" s="19"/>
      <c r="E135" s="20"/>
      <c r="F135" s="20"/>
      <c r="G135" s="20"/>
      <c r="H135" s="4" t="s">
        <v>11</v>
      </c>
      <c r="I135" s="5">
        <f>IF(OR($F$9="Monthly",$F$9="Quarterly"),$F$10,0)</f>
        <v>83.252217930602711</v>
      </c>
      <c r="J135" s="5">
        <f t="shared" si="15"/>
        <v>10369.032426249092</v>
      </c>
      <c r="K135" s="6">
        <f t="shared" si="14"/>
        <v>75.175485090305912</v>
      </c>
      <c r="L135" s="20"/>
      <c r="M135" s="20"/>
      <c r="N135" s="20"/>
      <c r="O135" s="21"/>
    </row>
    <row r="136" spans="4:15">
      <c r="D136" s="19"/>
      <c r="E136" s="20"/>
      <c r="F136" s="20"/>
      <c r="G136" s="20"/>
      <c r="H136" s="4" t="s">
        <v>12</v>
      </c>
      <c r="I136" s="5">
        <f>IF($F$9="Monthly",$F$10,0)</f>
        <v>83.252217930602711</v>
      </c>
      <c r="J136" s="5">
        <f t="shared" si="15"/>
        <v>10452.284644179696</v>
      </c>
      <c r="K136" s="6">
        <f t="shared" si="14"/>
        <v>75.77906367030279</v>
      </c>
      <c r="L136" s="20"/>
      <c r="M136" s="20"/>
      <c r="N136" s="20"/>
      <c r="O136" s="21"/>
    </row>
    <row r="137" spans="4:15">
      <c r="D137" s="19"/>
      <c r="E137" s="20"/>
      <c r="F137" s="20"/>
      <c r="G137" s="20"/>
      <c r="H137" s="4" t="s">
        <v>13</v>
      </c>
      <c r="I137" s="5">
        <f>IF($F$9="Monthly",$F$10,0)</f>
        <v>83.252217930602711</v>
      </c>
      <c r="J137" s="5">
        <f t="shared" si="15"/>
        <v>10535.536862110299</v>
      </c>
      <c r="K137" s="6">
        <f t="shared" si="14"/>
        <v>76.382642250299668</v>
      </c>
      <c r="L137" s="20"/>
      <c r="M137" s="20"/>
      <c r="N137" s="20"/>
      <c r="O137" s="21"/>
    </row>
    <row r="138" spans="4:15">
      <c r="D138" s="19"/>
      <c r="E138" s="20"/>
      <c r="F138" s="20"/>
      <c r="G138" s="20"/>
      <c r="H138" s="7" t="s">
        <v>21</v>
      </c>
      <c r="I138" s="9"/>
      <c r="J138" s="9">
        <f>J137+SUM(K126:K137)</f>
        <v>11412.292382834101</v>
      </c>
      <c r="K138" s="10"/>
      <c r="L138" s="20"/>
      <c r="M138" s="20"/>
      <c r="N138" s="20"/>
      <c r="O138" s="21"/>
    </row>
    <row r="139" spans="4:15">
      <c r="D139" s="19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1"/>
    </row>
    <row r="140" spans="4:15">
      <c r="D140" s="19"/>
      <c r="E140" s="20"/>
      <c r="F140" s="20"/>
      <c r="G140" s="20"/>
      <c r="H140" s="99" t="s">
        <v>25</v>
      </c>
      <c r="I140" s="100"/>
      <c r="J140" s="100"/>
      <c r="K140" s="101"/>
      <c r="L140" s="20"/>
      <c r="M140" s="20"/>
      <c r="N140" s="20"/>
      <c r="O140" s="21"/>
    </row>
    <row r="141" spans="4:15">
      <c r="D141" s="19"/>
      <c r="E141" s="20"/>
      <c r="F141" s="20"/>
      <c r="G141" s="20"/>
      <c r="H141" s="1" t="s">
        <v>1</v>
      </c>
      <c r="I141" s="2" t="s">
        <v>14</v>
      </c>
      <c r="J141" s="2" t="s">
        <v>0</v>
      </c>
      <c r="K141" s="3" t="s">
        <v>15</v>
      </c>
      <c r="L141" s="20"/>
      <c r="M141" s="20"/>
      <c r="N141" s="20"/>
      <c r="O141" s="21"/>
    </row>
    <row r="142" spans="4:15">
      <c r="D142" s="19"/>
      <c r="E142" s="20"/>
      <c r="F142" s="20"/>
      <c r="G142" s="20"/>
      <c r="H142" s="4" t="s">
        <v>2</v>
      </c>
      <c r="I142" s="5">
        <f>$F$10</f>
        <v>83.252217930602711</v>
      </c>
      <c r="J142" s="5">
        <f>I142+J138</f>
        <v>11495.544600764704</v>
      </c>
      <c r="K142" s="6">
        <f t="shared" ref="K142:K153" si="16">J142*$K$9/12</f>
        <v>83.342698355544101</v>
      </c>
      <c r="L142" s="20"/>
      <c r="M142" s="20"/>
      <c r="N142" s="20"/>
      <c r="O142" s="21"/>
    </row>
    <row r="143" spans="4:15">
      <c r="D143" s="19"/>
      <c r="E143" s="20"/>
      <c r="F143" s="20"/>
      <c r="G143" s="20"/>
      <c r="H143" s="4" t="s">
        <v>3</v>
      </c>
      <c r="I143" s="5">
        <f>IF($F$9="Monthly",$F$10,0)</f>
        <v>83.252217930602711</v>
      </c>
      <c r="J143" s="5">
        <f>I143+J142</f>
        <v>11578.796818695308</v>
      </c>
      <c r="K143" s="6">
        <f t="shared" si="16"/>
        <v>83.946276935540979</v>
      </c>
      <c r="L143" s="20"/>
      <c r="M143" s="20"/>
      <c r="N143" s="20"/>
      <c r="O143" s="21"/>
    </row>
    <row r="144" spans="4:15">
      <c r="D144" s="19"/>
      <c r="E144" s="20"/>
      <c r="F144" s="20"/>
      <c r="G144" s="20"/>
      <c r="H144" s="4" t="s">
        <v>4</v>
      </c>
      <c r="I144" s="5">
        <f>IF($F$9="Monthly",$F$10,0)</f>
        <v>83.252217930602711</v>
      </c>
      <c r="J144" s="5">
        <f t="shared" ref="J144:J153" si="17">I144+J143</f>
        <v>11662.049036625911</v>
      </c>
      <c r="K144" s="6">
        <f t="shared" si="16"/>
        <v>84.549855515537857</v>
      </c>
      <c r="L144" s="20"/>
      <c r="M144" s="20"/>
      <c r="N144" s="20"/>
      <c r="O144" s="21"/>
    </row>
    <row r="145" spans="4:15">
      <c r="D145" s="19"/>
      <c r="E145" s="20"/>
      <c r="F145" s="20"/>
      <c r="G145" s="20"/>
      <c r="H145" s="4" t="s">
        <v>5</v>
      </c>
      <c r="I145" s="5">
        <f>IF(OR($F$9="Monthly",$F$9="Quarterly"),$F$10,0)</f>
        <v>83.252217930602711</v>
      </c>
      <c r="J145" s="5">
        <f t="shared" si="17"/>
        <v>11745.301254556514</v>
      </c>
      <c r="K145" s="6">
        <f t="shared" si="16"/>
        <v>85.15343409553472</v>
      </c>
      <c r="L145" s="20"/>
      <c r="M145" s="20"/>
      <c r="N145" s="20"/>
      <c r="O145" s="21"/>
    </row>
    <row r="146" spans="4:15">
      <c r="D146" s="19"/>
      <c r="E146" s="20"/>
      <c r="F146" s="20"/>
      <c r="G146" s="20"/>
      <c r="H146" s="4" t="s">
        <v>6</v>
      </c>
      <c r="I146" s="5">
        <f>IF($F$9="Monthly",$F$10,0)</f>
        <v>83.252217930602711</v>
      </c>
      <c r="J146" s="5">
        <f t="shared" si="17"/>
        <v>11828.553472487118</v>
      </c>
      <c r="K146" s="6">
        <f t="shared" si="16"/>
        <v>85.757012675531598</v>
      </c>
      <c r="L146" s="20"/>
      <c r="M146" s="20"/>
      <c r="N146" s="20"/>
      <c r="O146" s="21"/>
    </row>
    <row r="147" spans="4:15">
      <c r="D147" s="19"/>
      <c r="E147" s="20"/>
      <c r="F147" s="20"/>
      <c r="G147" s="20"/>
      <c r="H147" s="4" t="s">
        <v>7</v>
      </c>
      <c r="I147" s="5">
        <f>IF($F$9="Monthly",$F$10,0)</f>
        <v>83.252217930602711</v>
      </c>
      <c r="J147" s="5">
        <f t="shared" si="17"/>
        <v>11911.805690417721</v>
      </c>
      <c r="K147" s="6">
        <f t="shared" si="16"/>
        <v>86.360591255528462</v>
      </c>
      <c r="L147" s="20"/>
      <c r="M147" s="20"/>
      <c r="N147" s="20"/>
      <c r="O147" s="21"/>
    </row>
    <row r="148" spans="4:15">
      <c r="D148" s="19"/>
      <c r="E148" s="20"/>
      <c r="F148" s="20"/>
      <c r="G148" s="20"/>
      <c r="H148" s="4" t="s">
        <v>8</v>
      </c>
      <c r="I148" s="5">
        <f>IF($F$9&lt;&gt;"Annual",$F$10,0)</f>
        <v>83.252217930602711</v>
      </c>
      <c r="J148" s="5">
        <f t="shared" si="17"/>
        <v>11995.057908348324</v>
      </c>
      <c r="K148" s="6">
        <f t="shared" si="16"/>
        <v>86.964169835525354</v>
      </c>
      <c r="L148" s="20"/>
      <c r="M148" s="20"/>
      <c r="N148" s="20"/>
      <c r="O148" s="21"/>
    </row>
    <row r="149" spans="4:15">
      <c r="D149" s="19"/>
      <c r="E149" s="20"/>
      <c r="F149" s="20"/>
      <c r="G149" s="20"/>
      <c r="H149" s="4" t="s">
        <v>9</v>
      </c>
      <c r="I149" s="5">
        <f>IF($F$9="Monthly",$F$10,0)</f>
        <v>83.252217930602711</v>
      </c>
      <c r="J149" s="5">
        <f t="shared" si="17"/>
        <v>12078.310126278928</v>
      </c>
      <c r="K149" s="6">
        <f t="shared" si="16"/>
        <v>87.567748415522217</v>
      </c>
      <c r="L149" s="20"/>
      <c r="M149" s="20"/>
      <c r="N149" s="20"/>
      <c r="O149" s="21"/>
    </row>
    <row r="150" spans="4:15">
      <c r="D150" s="19"/>
      <c r="E150" s="20"/>
      <c r="F150" s="20"/>
      <c r="G150" s="20"/>
      <c r="H150" s="4" t="s">
        <v>10</v>
      </c>
      <c r="I150" s="5">
        <f>IF($F$9="Monthly",$F$10,0)</f>
        <v>83.252217930602711</v>
      </c>
      <c r="J150" s="5">
        <f t="shared" si="17"/>
        <v>12161.562344209531</v>
      </c>
      <c r="K150" s="6">
        <f t="shared" si="16"/>
        <v>88.171326995519095</v>
      </c>
      <c r="L150" s="20"/>
      <c r="M150" s="20"/>
      <c r="N150" s="20"/>
      <c r="O150" s="21"/>
    </row>
    <row r="151" spans="4:15">
      <c r="D151" s="19"/>
      <c r="E151" s="20"/>
      <c r="F151" s="20"/>
      <c r="G151" s="20"/>
      <c r="H151" s="4" t="s">
        <v>11</v>
      </c>
      <c r="I151" s="5">
        <f>IF(OR($F$9="Monthly",$F$9="Quarterly"),$F$10,0)</f>
        <v>83.252217930602711</v>
      </c>
      <c r="J151" s="5">
        <f t="shared" si="17"/>
        <v>12244.814562140135</v>
      </c>
      <c r="K151" s="6">
        <f t="shared" si="16"/>
        <v>88.774905575515973</v>
      </c>
      <c r="L151" s="20"/>
      <c r="M151" s="20"/>
      <c r="N151" s="20"/>
      <c r="O151" s="21"/>
    </row>
    <row r="152" spans="4:15">
      <c r="D152" s="19"/>
      <c r="E152" s="20"/>
      <c r="F152" s="20"/>
      <c r="G152" s="20"/>
      <c r="H152" s="4" t="s">
        <v>12</v>
      </c>
      <c r="I152" s="5">
        <f>IF($F$9="Monthly",$F$10,0)</f>
        <v>83.252217930602711</v>
      </c>
      <c r="J152" s="5">
        <f t="shared" si="17"/>
        <v>12328.066780070738</v>
      </c>
      <c r="K152" s="6">
        <f t="shared" si="16"/>
        <v>89.378484155512851</v>
      </c>
      <c r="L152" s="20"/>
      <c r="M152" s="20"/>
      <c r="N152" s="20"/>
      <c r="O152" s="21"/>
    </row>
    <row r="153" spans="4:15">
      <c r="D153" s="19"/>
      <c r="E153" s="20"/>
      <c r="F153" s="20"/>
      <c r="G153" s="20"/>
      <c r="H153" s="4" t="s">
        <v>13</v>
      </c>
      <c r="I153" s="5">
        <f>IF($F$9="Monthly",$F$10,0)</f>
        <v>83.252217930602711</v>
      </c>
      <c r="J153" s="5">
        <f t="shared" si="17"/>
        <v>12411.318998001341</v>
      </c>
      <c r="K153" s="6">
        <f t="shared" si="16"/>
        <v>89.982062735509714</v>
      </c>
      <c r="L153" s="20"/>
      <c r="M153" s="20"/>
      <c r="N153" s="20"/>
      <c r="O153" s="21"/>
    </row>
    <row r="154" spans="4:15">
      <c r="D154" s="19"/>
      <c r="E154" s="20"/>
      <c r="F154" s="20"/>
      <c r="G154" s="20"/>
      <c r="H154" s="7" t="s">
        <v>21</v>
      </c>
      <c r="I154" s="9"/>
      <c r="J154" s="9">
        <f>J153+SUM(K142:K153)</f>
        <v>13451.267564547665</v>
      </c>
      <c r="K154" s="10"/>
      <c r="L154" s="20"/>
      <c r="M154" s="20"/>
      <c r="N154" s="20"/>
      <c r="O154" s="21"/>
    </row>
    <row r="155" spans="4:15">
      <c r="D155" s="19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1"/>
    </row>
    <row r="156" spans="4:15">
      <c r="D156" s="19"/>
      <c r="E156" s="20"/>
      <c r="F156" s="20"/>
      <c r="G156" s="20"/>
      <c r="H156" s="99" t="s">
        <v>26</v>
      </c>
      <c r="I156" s="100"/>
      <c r="J156" s="100"/>
      <c r="K156" s="101"/>
      <c r="L156" s="20"/>
      <c r="M156" s="20"/>
      <c r="N156" s="20"/>
      <c r="O156" s="21"/>
    </row>
    <row r="157" spans="4:15">
      <c r="D157" s="19"/>
      <c r="E157" s="20"/>
      <c r="F157" s="20"/>
      <c r="G157" s="20"/>
      <c r="H157" s="1" t="s">
        <v>1</v>
      </c>
      <c r="I157" s="2" t="s">
        <v>14</v>
      </c>
      <c r="J157" s="2" t="s">
        <v>0</v>
      </c>
      <c r="K157" s="3" t="s">
        <v>15</v>
      </c>
      <c r="L157" s="20"/>
      <c r="M157" s="20"/>
      <c r="N157" s="20"/>
      <c r="O157" s="21"/>
    </row>
    <row r="158" spans="4:15">
      <c r="D158" s="19"/>
      <c r="E158" s="20"/>
      <c r="F158" s="20"/>
      <c r="G158" s="20"/>
      <c r="H158" s="4" t="s">
        <v>2</v>
      </c>
      <c r="I158" s="5">
        <f>$F$10</f>
        <v>83.252217930602711</v>
      </c>
      <c r="J158" s="5">
        <f>I158+J154</f>
        <v>13534.519782478268</v>
      </c>
      <c r="K158" s="6">
        <f t="shared" ref="K158:K169" si="18">J158*$K$9/12</f>
        <v>98.125268422967437</v>
      </c>
      <c r="L158" s="20"/>
      <c r="M158" s="20"/>
      <c r="N158" s="20"/>
      <c r="O158" s="21"/>
    </row>
    <row r="159" spans="4:15">
      <c r="D159" s="19"/>
      <c r="E159" s="20"/>
      <c r="F159" s="20"/>
      <c r="G159" s="20"/>
      <c r="H159" s="4" t="s">
        <v>3</v>
      </c>
      <c r="I159" s="5">
        <f>IF($F$9="Monthly",$F$10,0)</f>
        <v>83.252217930602711</v>
      </c>
      <c r="J159" s="5">
        <f>I159+J158</f>
        <v>13617.772000408871</v>
      </c>
      <c r="K159" s="6">
        <f t="shared" si="18"/>
        <v>98.728847002964315</v>
      </c>
      <c r="L159" s="20"/>
      <c r="M159" s="20"/>
      <c r="N159" s="20"/>
      <c r="O159" s="21"/>
    </row>
    <row r="160" spans="4:15">
      <c r="D160" s="19"/>
      <c r="E160" s="20"/>
      <c r="F160" s="20"/>
      <c r="G160" s="20"/>
      <c r="H160" s="4" t="s">
        <v>4</v>
      </c>
      <c r="I160" s="5">
        <f>IF($F$9="Monthly",$F$10,0)</f>
        <v>83.252217930602711</v>
      </c>
      <c r="J160" s="5">
        <f t="shared" ref="J160:J169" si="19">I160+J159</f>
        <v>13701.024218339475</v>
      </c>
      <c r="K160" s="6">
        <f t="shared" si="18"/>
        <v>99.332425582961193</v>
      </c>
      <c r="L160" s="20"/>
      <c r="M160" s="20"/>
      <c r="N160" s="20"/>
      <c r="O160" s="21"/>
    </row>
    <row r="161" spans="4:15">
      <c r="D161" s="19"/>
      <c r="E161" s="20"/>
      <c r="F161" s="20"/>
      <c r="G161" s="20"/>
      <c r="H161" s="4" t="s">
        <v>5</v>
      </c>
      <c r="I161" s="5">
        <f>IF(OR($F$9="Monthly",$F$9="Quarterly"),$F$10,0)</f>
        <v>83.252217930602711</v>
      </c>
      <c r="J161" s="5">
        <f t="shared" si="19"/>
        <v>13784.276436270078</v>
      </c>
      <c r="K161" s="6">
        <f t="shared" si="18"/>
        <v>99.936004162958056</v>
      </c>
      <c r="L161" s="20"/>
      <c r="M161" s="20"/>
      <c r="N161" s="20"/>
      <c r="O161" s="21"/>
    </row>
    <row r="162" spans="4:15">
      <c r="D162" s="19"/>
      <c r="E162" s="20"/>
      <c r="F162" s="20"/>
      <c r="G162" s="20"/>
      <c r="H162" s="4" t="s">
        <v>6</v>
      </c>
      <c r="I162" s="5">
        <f>IF($F$9="Monthly",$F$10,0)</f>
        <v>83.252217930602711</v>
      </c>
      <c r="J162" s="5">
        <f t="shared" si="19"/>
        <v>13867.528654200682</v>
      </c>
      <c r="K162" s="6">
        <f t="shared" si="18"/>
        <v>100.53958274295495</v>
      </c>
      <c r="L162" s="20"/>
      <c r="M162" s="20"/>
      <c r="N162" s="20"/>
      <c r="O162" s="21"/>
    </row>
    <row r="163" spans="4:15">
      <c r="D163" s="19"/>
      <c r="E163" s="20"/>
      <c r="F163" s="20"/>
      <c r="G163" s="20"/>
      <c r="H163" s="4" t="s">
        <v>7</v>
      </c>
      <c r="I163" s="5">
        <f>IF($F$9="Monthly",$F$10,0)</f>
        <v>83.252217930602711</v>
      </c>
      <c r="J163" s="5">
        <f t="shared" si="19"/>
        <v>13950.780872131285</v>
      </c>
      <c r="K163" s="6">
        <f t="shared" si="18"/>
        <v>101.14316132295181</v>
      </c>
      <c r="L163" s="20"/>
      <c r="M163" s="20"/>
      <c r="N163" s="20"/>
      <c r="O163" s="21"/>
    </row>
    <row r="164" spans="4:15">
      <c r="D164" s="19"/>
      <c r="E164" s="20"/>
      <c r="F164" s="20"/>
      <c r="G164" s="20"/>
      <c r="H164" s="4" t="s">
        <v>8</v>
      </c>
      <c r="I164" s="5">
        <f>IF($F$9&lt;&gt;"Annual",$F$10,0)</f>
        <v>83.252217930602711</v>
      </c>
      <c r="J164" s="5">
        <f t="shared" si="19"/>
        <v>14034.033090061888</v>
      </c>
      <c r="K164" s="6">
        <f t="shared" si="18"/>
        <v>101.74673990294868</v>
      </c>
      <c r="L164" s="20"/>
      <c r="M164" s="20"/>
      <c r="N164" s="20"/>
      <c r="O164" s="21"/>
    </row>
    <row r="165" spans="4:15">
      <c r="D165" s="19"/>
      <c r="E165" s="20"/>
      <c r="F165" s="20"/>
      <c r="G165" s="20"/>
      <c r="H165" s="4" t="s">
        <v>9</v>
      </c>
      <c r="I165" s="5">
        <f>IF($F$9="Monthly",$F$10,0)</f>
        <v>83.252217930602711</v>
      </c>
      <c r="J165" s="5">
        <f t="shared" si="19"/>
        <v>14117.285307992492</v>
      </c>
      <c r="K165" s="6">
        <f t="shared" si="18"/>
        <v>102.35031848294555</v>
      </c>
      <c r="L165" s="20"/>
      <c r="M165" s="20"/>
      <c r="N165" s="20"/>
      <c r="O165" s="21"/>
    </row>
    <row r="166" spans="4:15">
      <c r="D166" s="19"/>
      <c r="E166" s="20"/>
      <c r="F166" s="20"/>
      <c r="G166" s="20"/>
      <c r="H166" s="4" t="s">
        <v>10</v>
      </c>
      <c r="I166" s="5">
        <f>IF($F$9="Monthly",$F$10,0)</f>
        <v>83.252217930602711</v>
      </c>
      <c r="J166" s="5">
        <f t="shared" si="19"/>
        <v>14200.537525923095</v>
      </c>
      <c r="K166" s="6">
        <f t="shared" si="18"/>
        <v>102.95389706294243</v>
      </c>
      <c r="L166" s="20"/>
      <c r="M166" s="20"/>
      <c r="N166" s="20"/>
      <c r="O166" s="21"/>
    </row>
    <row r="167" spans="4:15">
      <c r="D167" s="19"/>
      <c r="E167" s="20"/>
      <c r="F167" s="20"/>
      <c r="G167" s="20"/>
      <c r="H167" s="4" t="s">
        <v>11</v>
      </c>
      <c r="I167" s="5">
        <f>IF(OR($F$9="Monthly",$F$9="Quarterly"),$F$10,0)</f>
        <v>83.252217930602711</v>
      </c>
      <c r="J167" s="5">
        <f t="shared" si="19"/>
        <v>14283.789743853698</v>
      </c>
      <c r="K167" s="6">
        <f t="shared" si="18"/>
        <v>103.55747564293931</v>
      </c>
      <c r="L167" s="20"/>
      <c r="M167" s="20"/>
      <c r="N167" s="20"/>
      <c r="O167" s="21"/>
    </row>
    <row r="168" spans="4:15">
      <c r="D168" s="19"/>
      <c r="E168" s="20"/>
      <c r="F168" s="20"/>
      <c r="G168" s="20"/>
      <c r="H168" s="4" t="s">
        <v>12</v>
      </c>
      <c r="I168" s="5">
        <f>IF($F$9="Monthly",$F$10,0)</f>
        <v>83.252217930602711</v>
      </c>
      <c r="J168" s="5">
        <f t="shared" si="19"/>
        <v>14367.041961784302</v>
      </c>
      <c r="K168" s="6">
        <f t="shared" si="18"/>
        <v>104.16105422293617</v>
      </c>
      <c r="L168" s="20"/>
      <c r="M168" s="20"/>
      <c r="N168" s="20"/>
      <c r="O168" s="21"/>
    </row>
    <row r="169" spans="4:15">
      <c r="D169" s="19"/>
      <c r="E169" s="20"/>
      <c r="F169" s="20"/>
      <c r="G169" s="20"/>
      <c r="H169" s="4" t="s">
        <v>13</v>
      </c>
      <c r="I169" s="5">
        <f>IF($F$9="Monthly",$F$10,0)</f>
        <v>83.252217930602711</v>
      </c>
      <c r="J169" s="5">
        <f t="shared" si="19"/>
        <v>14450.294179714905</v>
      </c>
      <c r="K169" s="6">
        <f t="shared" si="18"/>
        <v>104.76463280293306</v>
      </c>
      <c r="L169" s="20"/>
      <c r="M169" s="20"/>
      <c r="N169" s="20"/>
      <c r="O169" s="21"/>
    </row>
    <row r="170" spans="4:15">
      <c r="D170" s="19"/>
      <c r="E170" s="20"/>
      <c r="F170" s="20"/>
      <c r="G170" s="20"/>
      <c r="H170" s="7" t="s">
        <v>21</v>
      </c>
      <c r="I170" s="9"/>
      <c r="J170" s="9">
        <f>J169+SUM(K158:K169)</f>
        <v>15667.633587070308</v>
      </c>
      <c r="K170" s="10"/>
      <c r="L170" s="20"/>
      <c r="M170" s="20"/>
      <c r="N170" s="20"/>
      <c r="O170" s="21"/>
    </row>
    <row r="171" spans="4:15">
      <c r="D171" s="19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1"/>
    </row>
    <row r="172" spans="4:15">
      <c r="D172" s="19"/>
      <c r="E172" s="20"/>
      <c r="F172" s="20"/>
      <c r="G172" s="20"/>
      <c r="H172" s="99" t="s">
        <v>27</v>
      </c>
      <c r="I172" s="100"/>
      <c r="J172" s="100"/>
      <c r="K172" s="101"/>
      <c r="L172" s="20"/>
      <c r="M172" s="20"/>
      <c r="N172" s="20"/>
      <c r="O172" s="21"/>
    </row>
    <row r="173" spans="4:15">
      <c r="D173" s="19"/>
      <c r="E173" s="20"/>
      <c r="F173" s="20"/>
      <c r="G173" s="20"/>
      <c r="H173" s="1" t="s">
        <v>1</v>
      </c>
      <c r="I173" s="2" t="s">
        <v>14</v>
      </c>
      <c r="J173" s="2" t="s">
        <v>0</v>
      </c>
      <c r="K173" s="3" t="s">
        <v>15</v>
      </c>
      <c r="L173" s="20"/>
      <c r="M173" s="20"/>
      <c r="N173" s="20"/>
      <c r="O173" s="21"/>
    </row>
    <row r="174" spans="4:15">
      <c r="D174" s="19"/>
      <c r="E174" s="20"/>
      <c r="F174" s="20"/>
      <c r="G174" s="20"/>
      <c r="H174" s="4" t="s">
        <v>2</v>
      </c>
      <c r="I174" s="5">
        <f>$F$10</f>
        <v>83.252217930602711</v>
      </c>
      <c r="J174" s="5">
        <f>I174+J170</f>
        <v>15750.885805000911</v>
      </c>
      <c r="K174" s="6">
        <f t="shared" ref="K174:K185" si="20">J174*$K$9/12</f>
        <v>114.19392208625659</v>
      </c>
      <c r="L174" s="20"/>
      <c r="M174" s="20"/>
      <c r="N174" s="20"/>
      <c r="O174" s="21"/>
    </row>
    <row r="175" spans="4:15">
      <c r="D175" s="19"/>
      <c r="E175" s="20"/>
      <c r="F175" s="20"/>
      <c r="G175" s="20"/>
      <c r="H175" s="4" t="s">
        <v>3</v>
      </c>
      <c r="I175" s="5">
        <f>IF($F$9="Monthly",$F$10,0)</f>
        <v>83.252217930602711</v>
      </c>
      <c r="J175" s="5">
        <f>I175+J174</f>
        <v>15834.138022931515</v>
      </c>
      <c r="K175" s="6">
        <f t="shared" si="20"/>
        <v>114.79750066625347</v>
      </c>
      <c r="L175" s="20"/>
      <c r="M175" s="20"/>
      <c r="N175" s="20"/>
      <c r="O175" s="21"/>
    </row>
    <row r="176" spans="4:15">
      <c r="D176" s="19"/>
      <c r="E176" s="20"/>
      <c r="F176" s="20"/>
      <c r="G176" s="20"/>
      <c r="H176" s="4" t="s">
        <v>4</v>
      </c>
      <c r="I176" s="5">
        <f>IF($F$9="Monthly",$F$10,0)</f>
        <v>83.252217930602711</v>
      </c>
      <c r="J176" s="5">
        <f t="shared" ref="J176:J185" si="21">I176+J175</f>
        <v>15917.390240862118</v>
      </c>
      <c r="K176" s="6">
        <f t="shared" si="20"/>
        <v>115.40107924625035</v>
      </c>
      <c r="L176" s="20"/>
      <c r="M176" s="20"/>
      <c r="N176" s="20"/>
      <c r="O176" s="21"/>
    </row>
    <row r="177" spans="4:15">
      <c r="D177" s="19"/>
      <c r="E177" s="20"/>
      <c r="F177" s="20"/>
      <c r="G177" s="20"/>
      <c r="H177" s="4" t="s">
        <v>5</v>
      </c>
      <c r="I177" s="5">
        <f>IF(OR($F$9="Monthly",$F$9="Quarterly"),$F$10,0)</f>
        <v>83.252217930602711</v>
      </c>
      <c r="J177" s="5">
        <f t="shared" si="21"/>
        <v>16000.642458792721</v>
      </c>
      <c r="K177" s="6">
        <f t="shared" si="20"/>
        <v>116.00465782624723</v>
      </c>
      <c r="L177" s="20"/>
      <c r="M177" s="20"/>
      <c r="N177" s="20"/>
      <c r="O177" s="21"/>
    </row>
    <row r="178" spans="4:15">
      <c r="D178" s="19"/>
      <c r="E178" s="20"/>
      <c r="F178" s="20"/>
      <c r="G178" s="20"/>
      <c r="H178" s="4" t="s">
        <v>6</v>
      </c>
      <c r="I178" s="5">
        <f>IF($F$9="Monthly",$F$10,0)</f>
        <v>83.252217930602711</v>
      </c>
      <c r="J178" s="5">
        <f t="shared" si="21"/>
        <v>16083.894676723325</v>
      </c>
      <c r="K178" s="6">
        <f t="shared" si="20"/>
        <v>116.60823640624409</v>
      </c>
      <c r="L178" s="20"/>
      <c r="M178" s="20"/>
      <c r="N178" s="20"/>
      <c r="O178" s="21"/>
    </row>
    <row r="179" spans="4:15">
      <c r="D179" s="19"/>
      <c r="E179" s="20"/>
      <c r="F179" s="20"/>
      <c r="G179" s="20"/>
      <c r="H179" s="4" t="s">
        <v>7</v>
      </c>
      <c r="I179" s="5">
        <f>IF($F$9="Monthly",$F$10,0)</f>
        <v>83.252217930602711</v>
      </c>
      <c r="J179" s="5">
        <f t="shared" si="21"/>
        <v>16167.146894653928</v>
      </c>
      <c r="K179" s="6">
        <f t="shared" si="20"/>
        <v>117.21181498624098</v>
      </c>
      <c r="L179" s="20"/>
      <c r="M179" s="20"/>
      <c r="N179" s="20"/>
      <c r="O179" s="21"/>
    </row>
    <row r="180" spans="4:15">
      <c r="D180" s="19"/>
      <c r="E180" s="20"/>
      <c r="F180" s="20"/>
      <c r="G180" s="20"/>
      <c r="H180" s="4" t="s">
        <v>8</v>
      </c>
      <c r="I180" s="5">
        <f>IF($F$9&lt;&gt;"Annual",$F$10,0)</f>
        <v>83.252217930602711</v>
      </c>
      <c r="J180" s="5">
        <f t="shared" si="21"/>
        <v>16250.399112584531</v>
      </c>
      <c r="K180" s="6">
        <f t="shared" si="20"/>
        <v>117.81539356623784</v>
      </c>
      <c r="L180" s="20"/>
      <c r="M180" s="20"/>
      <c r="N180" s="20"/>
      <c r="O180" s="21"/>
    </row>
    <row r="181" spans="4:15">
      <c r="D181" s="19"/>
      <c r="E181" s="20"/>
      <c r="F181" s="20"/>
      <c r="G181" s="20"/>
      <c r="H181" s="4" t="s">
        <v>9</v>
      </c>
      <c r="I181" s="5">
        <f>IF($F$9="Monthly",$F$10,0)</f>
        <v>83.252217930602711</v>
      </c>
      <c r="J181" s="5">
        <f t="shared" si="21"/>
        <v>16333.651330515135</v>
      </c>
      <c r="K181" s="6">
        <f t="shared" si="20"/>
        <v>118.41897214623471</v>
      </c>
      <c r="L181" s="20"/>
      <c r="M181" s="20"/>
      <c r="N181" s="20"/>
      <c r="O181" s="21"/>
    </row>
    <row r="182" spans="4:15">
      <c r="D182" s="19"/>
      <c r="E182" s="20"/>
      <c r="F182" s="20"/>
      <c r="G182" s="20"/>
      <c r="H182" s="4" t="s">
        <v>10</v>
      </c>
      <c r="I182" s="5">
        <f>IF($F$9="Monthly",$F$10,0)</f>
        <v>83.252217930602711</v>
      </c>
      <c r="J182" s="5">
        <f t="shared" si="21"/>
        <v>16416.903548445738</v>
      </c>
      <c r="K182" s="6">
        <f t="shared" si="20"/>
        <v>119.0225507262316</v>
      </c>
      <c r="L182" s="20"/>
      <c r="M182" s="20"/>
      <c r="N182" s="20"/>
      <c r="O182" s="21"/>
    </row>
    <row r="183" spans="4:15">
      <c r="D183" s="19"/>
      <c r="E183" s="20"/>
      <c r="F183" s="20"/>
      <c r="G183" s="20"/>
      <c r="H183" s="4" t="s">
        <v>11</v>
      </c>
      <c r="I183" s="5">
        <f>IF(OR($F$9="Monthly",$F$9="Quarterly"),$F$10,0)</f>
        <v>83.252217930602711</v>
      </c>
      <c r="J183" s="5">
        <f t="shared" si="21"/>
        <v>16500.155766376341</v>
      </c>
      <c r="K183" s="6">
        <f t="shared" si="20"/>
        <v>119.62612930622846</v>
      </c>
      <c r="L183" s="20"/>
      <c r="M183" s="20"/>
      <c r="N183" s="20"/>
      <c r="O183" s="21"/>
    </row>
    <row r="184" spans="4:15">
      <c r="D184" s="19"/>
      <c r="E184" s="20"/>
      <c r="F184" s="20"/>
      <c r="G184" s="20"/>
      <c r="H184" s="4" t="s">
        <v>12</v>
      </c>
      <c r="I184" s="5">
        <f>IF($F$9="Monthly",$F$10,0)</f>
        <v>83.252217930602711</v>
      </c>
      <c r="J184" s="5">
        <f t="shared" si="21"/>
        <v>16583.407984306945</v>
      </c>
      <c r="K184" s="6">
        <f t="shared" si="20"/>
        <v>120.22970788622534</v>
      </c>
      <c r="L184" s="20"/>
      <c r="M184" s="20"/>
      <c r="N184" s="20"/>
      <c r="O184" s="21"/>
    </row>
    <row r="185" spans="4:15">
      <c r="D185" s="19"/>
      <c r="E185" s="20"/>
      <c r="F185" s="20"/>
      <c r="G185" s="20"/>
      <c r="H185" s="4" t="s">
        <v>13</v>
      </c>
      <c r="I185" s="5">
        <f>IF($F$9="Monthly",$F$10,0)</f>
        <v>83.252217930602711</v>
      </c>
      <c r="J185" s="5">
        <f t="shared" si="21"/>
        <v>16666.660202237548</v>
      </c>
      <c r="K185" s="6">
        <f t="shared" si="20"/>
        <v>120.83328646622222</v>
      </c>
      <c r="L185" s="20"/>
      <c r="M185" s="20"/>
      <c r="N185" s="20"/>
      <c r="O185" s="21"/>
    </row>
    <row r="186" spans="4:15">
      <c r="D186" s="19"/>
      <c r="E186" s="20"/>
      <c r="F186" s="20"/>
      <c r="G186" s="20"/>
      <c r="H186" s="7" t="s">
        <v>21</v>
      </c>
      <c r="I186" s="9"/>
      <c r="J186" s="9">
        <f>J185+SUM(K174:K185)</f>
        <v>18076.823453552421</v>
      </c>
      <c r="K186" s="10"/>
      <c r="L186" s="20"/>
      <c r="M186" s="20"/>
      <c r="N186" s="20"/>
      <c r="O186" s="21"/>
    </row>
    <row r="187" spans="4:15">
      <c r="D187" s="19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1"/>
    </row>
    <row r="188" spans="4:15">
      <c r="D188" s="19"/>
      <c r="E188" s="20"/>
      <c r="F188" s="20"/>
      <c r="G188" s="20"/>
      <c r="H188" s="99" t="s">
        <v>28</v>
      </c>
      <c r="I188" s="100"/>
      <c r="J188" s="100"/>
      <c r="K188" s="101"/>
      <c r="L188" s="20"/>
      <c r="M188" s="20"/>
      <c r="N188" s="20"/>
      <c r="O188" s="21"/>
    </row>
    <row r="189" spans="4:15">
      <c r="D189" s="19"/>
      <c r="E189" s="20"/>
      <c r="F189" s="20"/>
      <c r="G189" s="20"/>
      <c r="H189" s="1" t="s">
        <v>1</v>
      </c>
      <c r="I189" s="2" t="s">
        <v>14</v>
      </c>
      <c r="J189" s="2" t="s">
        <v>0</v>
      </c>
      <c r="K189" s="3" t="s">
        <v>15</v>
      </c>
      <c r="L189" s="20"/>
      <c r="M189" s="20"/>
      <c r="N189" s="20"/>
      <c r="O189" s="21"/>
    </row>
    <row r="190" spans="4:15">
      <c r="D190" s="19"/>
      <c r="E190" s="20"/>
      <c r="F190" s="20"/>
      <c r="G190" s="20"/>
      <c r="H190" s="4" t="s">
        <v>2</v>
      </c>
      <c r="I190" s="5">
        <f>$F$10</f>
        <v>83.252217930602711</v>
      </c>
      <c r="J190" s="5">
        <f>I190+J186</f>
        <v>18160.075671483024</v>
      </c>
      <c r="K190" s="6">
        <f t="shared" ref="K190:K201" si="22">J190*$K$9/12</f>
        <v>131.66054861825191</v>
      </c>
      <c r="L190" s="20"/>
      <c r="M190" s="20"/>
      <c r="N190" s="20"/>
      <c r="O190" s="21"/>
    </row>
    <row r="191" spans="4:15">
      <c r="D191" s="19"/>
      <c r="E191" s="20"/>
      <c r="F191" s="20"/>
      <c r="G191" s="20"/>
      <c r="H191" s="4" t="s">
        <v>3</v>
      </c>
      <c r="I191" s="5">
        <f>IF($F$9="Monthly",$F$10,0)</f>
        <v>83.252217930602711</v>
      </c>
      <c r="J191" s="5">
        <f>I191+J190</f>
        <v>18243.327889413627</v>
      </c>
      <c r="K191" s="6">
        <f t="shared" si="22"/>
        <v>132.26412719824879</v>
      </c>
      <c r="L191" s="20"/>
      <c r="M191" s="20"/>
      <c r="N191" s="20"/>
      <c r="O191" s="21"/>
    </row>
    <row r="192" spans="4:15">
      <c r="D192" s="19"/>
      <c r="E192" s="20"/>
      <c r="F192" s="20"/>
      <c r="G192" s="20"/>
      <c r="H192" s="4" t="s">
        <v>4</v>
      </c>
      <c r="I192" s="5">
        <f>IF($F$9="Monthly",$F$10,0)</f>
        <v>83.252217930602711</v>
      </c>
      <c r="J192" s="5">
        <f t="shared" ref="J192:J201" si="23">I192+J191</f>
        <v>18326.580107344231</v>
      </c>
      <c r="K192" s="6">
        <f t="shared" si="22"/>
        <v>132.86770577824566</v>
      </c>
      <c r="L192" s="20"/>
      <c r="M192" s="20"/>
      <c r="N192" s="20"/>
      <c r="O192" s="21"/>
    </row>
    <row r="193" spans="4:15">
      <c r="D193" s="19"/>
      <c r="E193" s="20"/>
      <c r="F193" s="20"/>
      <c r="G193" s="20"/>
      <c r="H193" s="4" t="s">
        <v>5</v>
      </c>
      <c r="I193" s="5">
        <f>IF(OR($F$9="Monthly",$F$9="Quarterly"),$F$10,0)</f>
        <v>83.252217930602711</v>
      </c>
      <c r="J193" s="5">
        <f t="shared" si="23"/>
        <v>18409.832325274834</v>
      </c>
      <c r="K193" s="6">
        <f t="shared" si="22"/>
        <v>133.47128435824254</v>
      </c>
      <c r="L193" s="20"/>
      <c r="M193" s="20"/>
      <c r="N193" s="20"/>
      <c r="O193" s="21"/>
    </row>
    <row r="194" spans="4:15">
      <c r="D194" s="19"/>
      <c r="E194" s="20"/>
      <c r="F194" s="20"/>
      <c r="G194" s="20"/>
      <c r="H194" s="4" t="s">
        <v>6</v>
      </c>
      <c r="I194" s="5">
        <f>IF($F$9="Monthly",$F$10,0)</f>
        <v>83.252217930602711</v>
      </c>
      <c r="J194" s="5">
        <f t="shared" si="23"/>
        <v>18493.084543205438</v>
      </c>
      <c r="K194" s="6">
        <f t="shared" si="22"/>
        <v>134.07486293823942</v>
      </c>
      <c r="L194" s="20"/>
      <c r="M194" s="20"/>
      <c r="N194" s="20"/>
      <c r="O194" s="21"/>
    </row>
    <row r="195" spans="4:15">
      <c r="D195" s="19"/>
      <c r="E195" s="20"/>
      <c r="F195" s="20"/>
      <c r="G195" s="20"/>
      <c r="H195" s="4" t="s">
        <v>7</v>
      </c>
      <c r="I195" s="5">
        <f>IF($F$9="Monthly",$F$10,0)</f>
        <v>83.252217930602711</v>
      </c>
      <c r="J195" s="5">
        <f t="shared" si="23"/>
        <v>18576.336761136041</v>
      </c>
      <c r="K195" s="6">
        <f t="shared" si="22"/>
        <v>134.67844151823627</v>
      </c>
      <c r="L195" s="20"/>
      <c r="M195" s="20"/>
      <c r="N195" s="20"/>
      <c r="O195" s="21"/>
    </row>
    <row r="196" spans="4:15">
      <c r="D196" s="19"/>
      <c r="E196" s="20"/>
      <c r="F196" s="20"/>
      <c r="G196" s="20"/>
      <c r="H196" s="4" t="s">
        <v>8</v>
      </c>
      <c r="I196" s="5">
        <f>IF($F$9&lt;&gt;"Annual",$F$10,0)</f>
        <v>83.252217930602711</v>
      </c>
      <c r="J196" s="5">
        <f t="shared" si="23"/>
        <v>18659.588979066644</v>
      </c>
      <c r="K196" s="6">
        <f t="shared" si="22"/>
        <v>135.28202009823318</v>
      </c>
      <c r="L196" s="20"/>
      <c r="M196" s="20"/>
      <c r="N196" s="20"/>
      <c r="O196" s="21"/>
    </row>
    <row r="197" spans="4:15">
      <c r="D197" s="19"/>
      <c r="E197" s="20"/>
      <c r="F197" s="20"/>
      <c r="G197" s="20"/>
      <c r="H197" s="4" t="s">
        <v>9</v>
      </c>
      <c r="I197" s="5">
        <f>IF($F$9="Monthly",$F$10,0)</f>
        <v>83.252217930602711</v>
      </c>
      <c r="J197" s="5">
        <f t="shared" si="23"/>
        <v>18742.841196997248</v>
      </c>
      <c r="K197" s="6">
        <f t="shared" si="22"/>
        <v>135.88559867823002</v>
      </c>
      <c r="L197" s="20"/>
      <c r="M197" s="20"/>
      <c r="N197" s="20"/>
      <c r="O197" s="21"/>
    </row>
    <row r="198" spans="4:15">
      <c r="D198" s="19"/>
      <c r="E198" s="20"/>
      <c r="F198" s="20"/>
      <c r="G198" s="20"/>
      <c r="H198" s="4" t="s">
        <v>10</v>
      </c>
      <c r="I198" s="5">
        <f>IF($F$9="Monthly",$F$10,0)</f>
        <v>83.252217930602711</v>
      </c>
      <c r="J198" s="5">
        <f t="shared" si="23"/>
        <v>18826.093414927851</v>
      </c>
      <c r="K198" s="6">
        <f t="shared" si="22"/>
        <v>136.4891772582269</v>
      </c>
      <c r="L198" s="20"/>
      <c r="M198" s="20"/>
      <c r="N198" s="20"/>
      <c r="O198" s="21"/>
    </row>
    <row r="199" spans="4:15">
      <c r="D199" s="19"/>
      <c r="E199" s="20"/>
      <c r="F199" s="20"/>
      <c r="G199" s="20"/>
      <c r="H199" s="4" t="s">
        <v>11</v>
      </c>
      <c r="I199" s="5">
        <f>IF(OR($F$9="Monthly",$F$9="Quarterly"),$F$10,0)</f>
        <v>83.252217930602711</v>
      </c>
      <c r="J199" s="5">
        <f t="shared" si="23"/>
        <v>18909.345632858454</v>
      </c>
      <c r="K199" s="6">
        <f t="shared" si="22"/>
        <v>137.09275583822378</v>
      </c>
      <c r="L199" s="20"/>
      <c r="M199" s="20"/>
      <c r="N199" s="20"/>
      <c r="O199" s="21"/>
    </row>
    <row r="200" spans="4:15">
      <c r="D200" s="19"/>
      <c r="E200" s="20"/>
      <c r="F200" s="20"/>
      <c r="G200" s="20"/>
      <c r="H200" s="4" t="s">
        <v>12</v>
      </c>
      <c r="I200" s="5">
        <f>IF($F$9="Monthly",$F$10,0)</f>
        <v>83.252217930602711</v>
      </c>
      <c r="J200" s="5">
        <f t="shared" si="23"/>
        <v>18992.597850789058</v>
      </c>
      <c r="K200" s="6">
        <f t="shared" si="22"/>
        <v>137.69633441822066</v>
      </c>
      <c r="L200" s="20"/>
      <c r="M200" s="20"/>
      <c r="N200" s="20"/>
      <c r="O200" s="21"/>
    </row>
    <row r="201" spans="4:15">
      <c r="D201" s="19"/>
      <c r="E201" s="20"/>
      <c r="F201" s="20"/>
      <c r="G201" s="20"/>
      <c r="H201" s="4" t="s">
        <v>13</v>
      </c>
      <c r="I201" s="5">
        <f>IF($F$9="Monthly",$F$10,0)</f>
        <v>83.252217930602711</v>
      </c>
      <c r="J201" s="5">
        <f t="shared" si="23"/>
        <v>19075.850068719661</v>
      </c>
      <c r="K201" s="6">
        <f t="shared" si="22"/>
        <v>138.29991299821754</v>
      </c>
      <c r="L201" s="20"/>
      <c r="M201" s="20"/>
      <c r="N201" s="20"/>
      <c r="O201" s="21"/>
    </row>
    <row r="202" spans="4:15">
      <c r="D202" s="19"/>
      <c r="E202" s="20"/>
      <c r="F202" s="20"/>
      <c r="G202" s="20"/>
      <c r="H202" s="7" t="s">
        <v>21</v>
      </c>
      <c r="I202" s="9"/>
      <c r="J202" s="9">
        <f>J201+SUM(K190:K201)</f>
        <v>20695.612838418478</v>
      </c>
      <c r="K202" s="10"/>
      <c r="L202" s="20"/>
      <c r="M202" s="20"/>
      <c r="N202" s="20"/>
      <c r="O202" s="21"/>
    </row>
    <row r="203" spans="4:15">
      <c r="D203" s="19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1"/>
    </row>
    <row r="204" spans="4:15">
      <c r="D204" s="19"/>
      <c r="E204" s="20"/>
      <c r="F204" s="20"/>
      <c r="G204" s="20"/>
      <c r="H204" s="99" t="s">
        <v>29</v>
      </c>
      <c r="I204" s="100"/>
      <c r="J204" s="100"/>
      <c r="K204" s="101"/>
      <c r="L204" s="20"/>
      <c r="M204" s="20"/>
      <c r="N204" s="20"/>
      <c r="O204" s="21"/>
    </row>
    <row r="205" spans="4:15">
      <c r="D205" s="19"/>
      <c r="E205" s="20"/>
      <c r="F205" s="20"/>
      <c r="G205" s="20"/>
      <c r="H205" s="1" t="s">
        <v>1</v>
      </c>
      <c r="I205" s="2" t="s">
        <v>14</v>
      </c>
      <c r="J205" s="2" t="s">
        <v>0</v>
      </c>
      <c r="K205" s="3" t="s">
        <v>15</v>
      </c>
      <c r="L205" s="20"/>
      <c r="M205" s="20"/>
      <c r="N205" s="20"/>
      <c r="O205" s="21"/>
    </row>
    <row r="206" spans="4:15">
      <c r="D206" s="19"/>
      <c r="E206" s="20"/>
      <c r="F206" s="20"/>
      <c r="G206" s="20"/>
      <c r="H206" s="4" t="s">
        <v>2</v>
      </c>
      <c r="I206" s="5">
        <f>$F$10</f>
        <v>83.252217930602711</v>
      </c>
      <c r="J206" s="5">
        <f>I206+J202</f>
        <v>20778.865056349081</v>
      </c>
      <c r="K206" s="6">
        <f t="shared" ref="K206:K217" si="24">J206*$K$9/12</f>
        <v>150.64677165853081</v>
      </c>
      <c r="L206" s="20"/>
      <c r="M206" s="20"/>
      <c r="N206" s="20"/>
      <c r="O206" s="21"/>
    </row>
    <row r="207" spans="4:15">
      <c r="D207" s="19"/>
      <c r="E207" s="20"/>
      <c r="F207" s="20"/>
      <c r="G207" s="20"/>
      <c r="H207" s="4" t="s">
        <v>3</v>
      </c>
      <c r="I207" s="5">
        <f>IF($F$9="Monthly",$F$10,0)</f>
        <v>83.252217930602711</v>
      </c>
      <c r="J207" s="5">
        <f>I207+J206</f>
        <v>20862.117274279684</v>
      </c>
      <c r="K207" s="6">
        <f t="shared" si="24"/>
        <v>151.25035023852772</v>
      </c>
      <c r="L207" s="20"/>
      <c r="M207" s="20"/>
      <c r="N207" s="20"/>
      <c r="O207" s="21"/>
    </row>
    <row r="208" spans="4:15">
      <c r="D208" s="19"/>
      <c r="E208" s="20"/>
      <c r="F208" s="20"/>
      <c r="G208" s="20"/>
      <c r="H208" s="4" t="s">
        <v>4</v>
      </c>
      <c r="I208" s="5">
        <f>IF($F$9="Monthly",$F$10,0)</f>
        <v>83.252217930602711</v>
      </c>
      <c r="J208" s="5">
        <f t="shared" ref="J208:J217" si="25">I208+J207</f>
        <v>20945.369492210288</v>
      </c>
      <c r="K208" s="6">
        <f t="shared" si="24"/>
        <v>151.85392881852457</v>
      </c>
      <c r="L208" s="20"/>
      <c r="M208" s="20"/>
      <c r="N208" s="20"/>
      <c r="O208" s="21"/>
    </row>
    <row r="209" spans="4:15">
      <c r="D209" s="19"/>
      <c r="E209" s="20"/>
      <c r="F209" s="20"/>
      <c r="G209" s="20"/>
      <c r="H209" s="4" t="s">
        <v>5</v>
      </c>
      <c r="I209" s="5">
        <f>IF(OR($F$9="Monthly",$F$9="Quarterly"),$F$10,0)</f>
        <v>83.252217930602711</v>
      </c>
      <c r="J209" s="5">
        <f t="shared" si="25"/>
        <v>21028.621710140891</v>
      </c>
      <c r="K209" s="6">
        <f t="shared" si="24"/>
        <v>152.45750739852144</v>
      </c>
      <c r="L209" s="20"/>
      <c r="M209" s="20"/>
      <c r="N209" s="20"/>
      <c r="O209" s="21"/>
    </row>
    <row r="210" spans="4:15">
      <c r="D210" s="19"/>
      <c r="E210" s="20"/>
      <c r="F210" s="20"/>
      <c r="G210" s="20"/>
      <c r="H210" s="4" t="s">
        <v>6</v>
      </c>
      <c r="I210" s="5">
        <f>IF($F$9="Monthly",$F$10,0)</f>
        <v>83.252217930602711</v>
      </c>
      <c r="J210" s="5">
        <f t="shared" si="25"/>
        <v>21111.873928071494</v>
      </c>
      <c r="K210" s="6">
        <f t="shared" si="24"/>
        <v>153.06108597851832</v>
      </c>
      <c r="L210" s="20"/>
      <c r="M210" s="20"/>
      <c r="N210" s="20"/>
      <c r="O210" s="21"/>
    </row>
    <row r="211" spans="4:15">
      <c r="D211" s="19"/>
      <c r="E211" s="20"/>
      <c r="F211" s="20"/>
      <c r="G211" s="20"/>
      <c r="H211" s="4" t="s">
        <v>7</v>
      </c>
      <c r="I211" s="5">
        <f>IF($F$9="Monthly",$F$10,0)</f>
        <v>83.252217930602711</v>
      </c>
      <c r="J211" s="5">
        <f t="shared" si="25"/>
        <v>21195.126146002098</v>
      </c>
      <c r="K211" s="6">
        <f t="shared" si="24"/>
        <v>153.6646645585152</v>
      </c>
      <c r="L211" s="20"/>
      <c r="M211" s="20"/>
      <c r="N211" s="20"/>
      <c r="O211" s="21"/>
    </row>
    <row r="212" spans="4:15">
      <c r="D212" s="19"/>
      <c r="E212" s="20"/>
      <c r="F212" s="20"/>
      <c r="G212" s="20"/>
      <c r="H212" s="4" t="s">
        <v>8</v>
      </c>
      <c r="I212" s="5">
        <f>IF($F$9&lt;&gt;"Annual",$F$10,0)</f>
        <v>83.252217930602711</v>
      </c>
      <c r="J212" s="5">
        <f t="shared" si="25"/>
        <v>21278.378363932701</v>
      </c>
      <c r="K212" s="6">
        <f t="shared" si="24"/>
        <v>154.26824313851208</v>
      </c>
      <c r="L212" s="20"/>
      <c r="M212" s="20"/>
      <c r="N212" s="20"/>
      <c r="O212" s="21"/>
    </row>
    <row r="213" spans="4:15">
      <c r="D213" s="19"/>
      <c r="E213" s="20"/>
      <c r="F213" s="20"/>
      <c r="G213" s="20"/>
      <c r="H213" s="4" t="s">
        <v>9</v>
      </c>
      <c r="I213" s="5">
        <f>IF($F$9="Monthly",$F$10,0)</f>
        <v>83.252217930602711</v>
      </c>
      <c r="J213" s="5">
        <f t="shared" si="25"/>
        <v>21361.630581863305</v>
      </c>
      <c r="K213" s="6">
        <f t="shared" si="24"/>
        <v>154.87182171850895</v>
      </c>
      <c r="L213" s="20"/>
      <c r="M213" s="20"/>
      <c r="N213" s="20"/>
      <c r="O213" s="21"/>
    </row>
    <row r="214" spans="4:15">
      <c r="D214" s="19"/>
      <c r="E214" s="20"/>
      <c r="F214" s="20"/>
      <c r="G214" s="20"/>
      <c r="H214" s="4" t="s">
        <v>10</v>
      </c>
      <c r="I214" s="5">
        <f>IF($F$9="Monthly",$F$10,0)</f>
        <v>83.252217930602711</v>
      </c>
      <c r="J214" s="5">
        <f t="shared" si="25"/>
        <v>21444.882799793908</v>
      </c>
      <c r="K214" s="6">
        <f t="shared" si="24"/>
        <v>155.47540029850583</v>
      </c>
      <c r="L214" s="20"/>
      <c r="M214" s="20"/>
      <c r="N214" s="20"/>
      <c r="O214" s="21"/>
    </row>
    <row r="215" spans="4:15">
      <c r="D215" s="19"/>
      <c r="E215" s="20"/>
      <c r="F215" s="20"/>
      <c r="G215" s="20"/>
      <c r="H215" s="4" t="s">
        <v>11</v>
      </c>
      <c r="I215" s="5">
        <f>IF(OR($F$9="Monthly",$F$9="Quarterly"),$F$10,0)</f>
        <v>83.252217930602711</v>
      </c>
      <c r="J215" s="5">
        <f t="shared" si="25"/>
        <v>21528.135017724511</v>
      </c>
      <c r="K215" s="6">
        <f t="shared" si="24"/>
        <v>156.07897887850268</v>
      </c>
      <c r="L215" s="20"/>
      <c r="M215" s="20"/>
      <c r="N215" s="20"/>
      <c r="O215" s="21"/>
    </row>
    <row r="216" spans="4:15">
      <c r="D216" s="19"/>
      <c r="E216" s="20"/>
      <c r="F216" s="20"/>
      <c r="G216" s="20"/>
      <c r="H216" s="4" t="s">
        <v>12</v>
      </c>
      <c r="I216" s="5">
        <f>IF($F$9="Monthly",$F$10,0)</f>
        <v>83.252217930602711</v>
      </c>
      <c r="J216" s="5">
        <f t="shared" si="25"/>
        <v>21611.387235655115</v>
      </c>
      <c r="K216" s="6">
        <f t="shared" si="24"/>
        <v>156.68255745849959</v>
      </c>
      <c r="L216" s="20"/>
      <c r="M216" s="20"/>
      <c r="N216" s="20"/>
      <c r="O216" s="21"/>
    </row>
    <row r="217" spans="4:15">
      <c r="D217" s="19"/>
      <c r="E217" s="20"/>
      <c r="F217" s="20"/>
      <c r="G217" s="20"/>
      <c r="H217" s="4" t="s">
        <v>13</v>
      </c>
      <c r="I217" s="5">
        <f>IF($F$9="Monthly",$F$10,0)</f>
        <v>83.252217930602711</v>
      </c>
      <c r="J217" s="5">
        <f t="shared" si="25"/>
        <v>21694.639453585718</v>
      </c>
      <c r="K217" s="6">
        <f t="shared" si="24"/>
        <v>157.28613603849644</v>
      </c>
      <c r="L217" s="20"/>
      <c r="M217" s="20"/>
      <c r="N217" s="20"/>
      <c r="O217" s="21"/>
    </row>
    <row r="218" spans="4:15">
      <c r="D218" s="19"/>
      <c r="E218" s="20"/>
      <c r="F218" s="20"/>
      <c r="G218" s="20"/>
      <c r="H218" s="7" t="s">
        <v>21</v>
      </c>
      <c r="I218" s="9"/>
      <c r="J218" s="9">
        <f>J217+SUM(K206:K217)</f>
        <v>23542.236899767882</v>
      </c>
      <c r="K218" s="10"/>
      <c r="L218" s="20"/>
      <c r="M218" s="20"/>
      <c r="N218" s="20"/>
      <c r="O218" s="21"/>
    </row>
    <row r="219" spans="4:15">
      <c r="D219" s="19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1"/>
    </row>
    <row r="220" spans="4:15">
      <c r="D220" s="19"/>
      <c r="E220" s="20"/>
      <c r="F220" s="20"/>
      <c r="G220" s="20"/>
      <c r="H220" s="99" t="s">
        <v>30</v>
      </c>
      <c r="I220" s="100"/>
      <c r="J220" s="100"/>
      <c r="K220" s="101"/>
      <c r="L220" s="20"/>
      <c r="M220" s="20"/>
      <c r="N220" s="20"/>
      <c r="O220" s="21"/>
    </row>
    <row r="221" spans="4:15">
      <c r="D221" s="19"/>
      <c r="E221" s="20"/>
      <c r="F221" s="20"/>
      <c r="G221" s="20"/>
      <c r="H221" s="1" t="s">
        <v>1</v>
      </c>
      <c r="I221" s="2" t="s">
        <v>14</v>
      </c>
      <c r="J221" s="2" t="s">
        <v>0</v>
      </c>
      <c r="K221" s="3" t="s">
        <v>15</v>
      </c>
      <c r="L221" s="20"/>
      <c r="M221" s="20"/>
      <c r="N221" s="20"/>
      <c r="O221" s="21"/>
    </row>
    <row r="222" spans="4:15">
      <c r="D222" s="19"/>
      <c r="E222" s="20"/>
      <c r="F222" s="20"/>
      <c r="G222" s="20"/>
      <c r="H222" s="4" t="s">
        <v>2</v>
      </c>
      <c r="I222" s="5">
        <f>$F$10</f>
        <v>83.252217930602711</v>
      </c>
      <c r="J222" s="5">
        <f>I222+J218</f>
        <v>23625.489117698486</v>
      </c>
      <c r="K222" s="6">
        <f t="shared" ref="K222:K233" si="26">J222*$K$9/12</f>
        <v>171.28479610331399</v>
      </c>
      <c r="L222" s="20"/>
      <c r="M222" s="20"/>
      <c r="N222" s="20"/>
      <c r="O222" s="21"/>
    </row>
    <row r="223" spans="4:15">
      <c r="D223" s="19"/>
      <c r="E223" s="20"/>
      <c r="F223" s="20"/>
      <c r="G223" s="20"/>
      <c r="H223" s="4" t="s">
        <v>3</v>
      </c>
      <c r="I223" s="5">
        <f>IF($F$9="Monthly",$F$10,0)</f>
        <v>83.252217930602711</v>
      </c>
      <c r="J223" s="5">
        <f>I223+J222</f>
        <v>23708.741335629089</v>
      </c>
      <c r="K223" s="6">
        <f t="shared" si="26"/>
        <v>171.88837468331087</v>
      </c>
      <c r="L223" s="20"/>
      <c r="M223" s="20"/>
      <c r="N223" s="20"/>
      <c r="O223" s="21"/>
    </row>
    <row r="224" spans="4:15">
      <c r="D224" s="19"/>
      <c r="E224" s="20"/>
      <c r="F224" s="20"/>
      <c r="G224" s="20"/>
      <c r="H224" s="4" t="s">
        <v>4</v>
      </c>
      <c r="I224" s="5">
        <f>IF($F$9="Monthly",$F$10,0)</f>
        <v>83.252217930602711</v>
      </c>
      <c r="J224" s="5">
        <f t="shared" ref="J224:J233" si="27">I224+J223</f>
        <v>23791.993553559692</v>
      </c>
      <c r="K224" s="6">
        <f t="shared" si="26"/>
        <v>172.49195326330775</v>
      </c>
      <c r="L224" s="20"/>
      <c r="M224" s="20"/>
      <c r="N224" s="20"/>
      <c r="O224" s="21"/>
    </row>
    <row r="225" spans="4:15">
      <c r="D225" s="19"/>
      <c r="E225" s="20"/>
      <c r="F225" s="20"/>
      <c r="G225" s="20"/>
      <c r="H225" s="4" t="s">
        <v>5</v>
      </c>
      <c r="I225" s="5">
        <f>IF(OR($F$9="Monthly",$F$9="Quarterly"),$F$10,0)</f>
        <v>83.252217930602711</v>
      </c>
      <c r="J225" s="5">
        <f t="shared" si="27"/>
        <v>23875.245771490296</v>
      </c>
      <c r="K225" s="6">
        <f t="shared" si="26"/>
        <v>173.09553184330466</v>
      </c>
      <c r="L225" s="20"/>
      <c r="M225" s="20"/>
      <c r="N225" s="20"/>
      <c r="O225" s="21"/>
    </row>
    <row r="226" spans="4:15">
      <c r="D226" s="19"/>
      <c r="E226" s="20"/>
      <c r="F226" s="20"/>
      <c r="G226" s="20"/>
      <c r="H226" s="4" t="s">
        <v>6</v>
      </c>
      <c r="I226" s="5">
        <f>IF($F$9="Monthly",$F$10,0)</f>
        <v>83.252217930602711</v>
      </c>
      <c r="J226" s="5">
        <f t="shared" si="27"/>
        <v>23958.497989420899</v>
      </c>
      <c r="K226" s="6">
        <f t="shared" si="26"/>
        <v>173.69911042330151</v>
      </c>
      <c r="L226" s="20"/>
      <c r="M226" s="20"/>
      <c r="N226" s="20"/>
      <c r="O226" s="21"/>
    </row>
    <row r="227" spans="4:15">
      <c r="D227" s="19"/>
      <c r="E227" s="20"/>
      <c r="F227" s="20"/>
      <c r="G227" s="20"/>
      <c r="H227" s="4" t="s">
        <v>7</v>
      </c>
      <c r="I227" s="5">
        <f>IF($F$9="Monthly",$F$10,0)</f>
        <v>83.252217930602711</v>
      </c>
      <c r="J227" s="5">
        <f t="shared" si="27"/>
        <v>24041.750207351502</v>
      </c>
      <c r="K227" s="6">
        <f t="shared" si="26"/>
        <v>174.30268900329838</v>
      </c>
      <c r="L227" s="20"/>
      <c r="M227" s="20"/>
      <c r="N227" s="20"/>
      <c r="O227" s="21"/>
    </row>
    <row r="228" spans="4:15">
      <c r="D228" s="19"/>
      <c r="E228" s="20"/>
      <c r="F228" s="20"/>
      <c r="G228" s="20"/>
      <c r="H228" s="4" t="s">
        <v>8</v>
      </c>
      <c r="I228" s="5">
        <f>IF($F$9&lt;&gt;"Annual",$F$10,0)</f>
        <v>83.252217930602711</v>
      </c>
      <c r="J228" s="5">
        <f t="shared" si="27"/>
        <v>24125.002425282106</v>
      </c>
      <c r="K228" s="6">
        <f t="shared" si="26"/>
        <v>174.90626758329526</v>
      </c>
      <c r="L228" s="20"/>
      <c r="M228" s="20"/>
      <c r="N228" s="20"/>
      <c r="O228" s="21"/>
    </row>
    <row r="229" spans="4:15">
      <c r="D229" s="19"/>
      <c r="E229" s="20"/>
      <c r="F229" s="20"/>
      <c r="G229" s="20"/>
      <c r="H229" s="4" t="s">
        <v>9</v>
      </c>
      <c r="I229" s="5">
        <f>IF($F$9="Monthly",$F$10,0)</f>
        <v>83.252217930602711</v>
      </c>
      <c r="J229" s="5">
        <f t="shared" si="27"/>
        <v>24208.254643212709</v>
      </c>
      <c r="K229" s="6">
        <f t="shared" si="26"/>
        <v>175.50984616329211</v>
      </c>
      <c r="L229" s="20"/>
      <c r="M229" s="20"/>
      <c r="N229" s="20"/>
      <c r="O229" s="21"/>
    </row>
    <row r="230" spans="4:15">
      <c r="D230" s="19"/>
      <c r="E230" s="20"/>
      <c r="F230" s="20"/>
      <c r="G230" s="20"/>
      <c r="H230" s="4" t="s">
        <v>10</v>
      </c>
      <c r="I230" s="5">
        <f>IF($F$9="Monthly",$F$10,0)</f>
        <v>83.252217930602711</v>
      </c>
      <c r="J230" s="5">
        <f t="shared" si="27"/>
        <v>24291.506861143313</v>
      </c>
      <c r="K230" s="6">
        <f t="shared" si="26"/>
        <v>176.11342474328899</v>
      </c>
      <c r="L230" s="20"/>
      <c r="M230" s="20"/>
      <c r="N230" s="20"/>
      <c r="O230" s="21"/>
    </row>
    <row r="231" spans="4:15">
      <c r="D231" s="19"/>
      <c r="E231" s="20"/>
      <c r="F231" s="20"/>
      <c r="G231" s="20"/>
      <c r="H231" s="4" t="s">
        <v>11</v>
      </c>
      <c r="I231" s="5">
        <f>IF(OR($F$9="Monthly",$F$9="Quarterly"),$F$10,0)</f>
        <v>83.252217930602711</v>
      </c>
      <c r="J231" s="5">
        <f t="shared" si="27"/>
        <v>24374.759079073916</v>
      </c>
      <c r="K231" s="6">
        <f t="shared" si="26"/>
        <v>176.71700332328589</v>
      </c>
      <c r="L231" s="20"/>
      <c r="M231" s="20"/>
      <c r="N231" s="20"/>
      <c r="O231" s="21"/>
    </row>
    <row r="232" spans="4:15">
      <c r="D232" s="19"/>
      <c r="E232" s="20"/>
      <c r="F232" s="20"/>
      <c r="G232" s="20"/>
      <c r="H232" s="4" t="s">
        <v>12</v>
      </c>
      <c r="I232" s="5">
        <f>IF($F$9="Monthly",$F$10,0)</f>
        <v>83.252217930602711</v>
      </c>
      <c r="J232" s="5">
        <f t="shared" si="27"/>
        <v>24458.011297004519</v>
      </c>
      <c r="K232" s="6">
        <f t="shared" si="26"/>
        <v>177.32058190328277</v>
      </c>
      <c r="L232" s="20"/>
      <c r="M232" s="20"/>
      <c r="N232" s="20"/>
      <c r="O232" s="21"/>
    </row>
    <row r="233" spans="4:15">
      <c r="D233" s="19"/>
      <c r="E233" s="20"/>
      <c r="F233" s="20"/>
      <c r="G233" s="20"/>
      <c r="H233" s="4" t="s">
        <v>13</v>
      </c>
      <c r="I233" s="5">
        <f>IF($F$9="Monthly",$F$10,0)</f>
        <v>83.252217930602711</v>
      </c>
      <c r="J233" s="5">
        <f t="shared" si="27"/>
        <v>24541.263514935123</v>
      </c>
      <c r="K233" s="6">
        <f t="shared" si="26"/>
        <v>177.92416048327962</v>
      </c>
      <c r="L233" s="20"/>
      <c r="M233" s="20"/>
      <c r="N233" s="20"/>
      <c r="O233" s="21"/>
    </row>
    <row r="234" spans="4:15">
      <c r="D234" s="19"/>
      <c r="E234" s="20"/>
      <c r="F234" s="20"/>
      <c r="G234" s="20"/>
      <c r="H234" s="7" t="s">
        <v>21</v>
      </c>
      <c r="I234" s="9"/>
      <c r="J234" s="9">
        <f>J233+SUM(K222:K233)</f>
        <v>26636.517254454684</v>
      </c>
      <c r="K234" s="10"/>
      <c r="L234" s="20"/>
      <c r="M234" s="20"/>
      <c r="N234" s="20"/>
      <c r="O234" s="21"/>
    </row>
    <row r="235" spans="4:15">
      <c r="D235" s="19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1"/>
    </row>
    <row r="236" spans="4:15">
      <c r="D236" s="19"/>
      <c r="E236" s="20"/>
      <c r="F236" s="20"/>
      <c r="G236" s="20"/>
      <c r="H236" s="99" t="s">
        <v>31</v>
      </c>
      <c r="I236" s="100"/>
      <c r="J236" s="100"/>
      <c r="K236" s="101"/>
      <c r="L236" s="20"/>
      <c r="M236" s="20"/>
      <c r="N236" s="20"/>
      <c r="O236" s="21"/>
    </row>
    <row r="237" spans="4:15">
      <c r="D237" s="19"/>
      <c r="E237" s="20"/>
      <c r="F237" s="20"/>
      <c r="G237" s="20"/>
      <c r="H237" s="1" t="s">
        <v>1</v>
      </c>
      <c r="I237" s="2" t="s">
        <v>14</v>
      </c>
      <c r="J237" s="2" t="s">
        <v>0</v>
      </c>
      <c r="K237" s="3" t="s">
        <v>15</v>
      </c>
      <c r="L237" s="20"/>
      <c r="M237" s="20"/>
      <c r="N237" s="20"/>
      <c r="O237" s="21"/>
    </row>
    <row r="238" spans="4:15">
      <c r="D238" s="19"/>
      <c r="E238" s="20"/>
      <c r="F238" s="20"/>
      <c r="G238" s="20"/>
      <c r="H238" s="4" t="s">
        <v>2</v>
      </c>
      <c r="I238" s="5">
        <f>$F$10</f>
        <v>83.252217930602711</v>
      </c>
      <c r="J238" s="5">
        <f>I238+J234</f>
        <v>26719.769472385287</v>
      </c>
      <c r="K238" s="6">
        <f t="shared" ref="K238:K249" si="28">J238*$K$9/12</f>
        <v>193.7183286747933</v>
      </c>
      <c r="L238" s="20"/>
      <c r="M238" s="20"/>
      <c r="N238" s="20"/>
      <c r="O238" s="21"/>
    </row>
    <row r="239" spans="4:15">
      <c r="D239" s="19"/>
      <c r="E239" s="20"/>
      <c r="F239" s="20"/>
      <c r="G239" s="20"/>
      <c r="H239" s="4" t="s">
        <v>3</v>
      </c>
      <c r="I239" s="5">
        <f>IF($F$9="Monthly",$F$10,0)</f>
        <v>83.252217930602711</v>
      </c>
      <c r="J239" s="5">
        <f>I239+J238</f>
        <v>26803.021690315891</v>
      </c>
      <c r="K239" s="6">
        <f t="shared" si="28"/>
        <v>194.32190725479018</v>
      </c>
      <c r="L239" s="20"/>
      <c r="M239" s="20"/>
      <c r="N239" s="20"/>
      <c r="O239" s="21"/>
    </row>
    <row r="240" spans="4:15">
      <c r="D240" s="19"/>
      <c r="E240" s="20"/>
      <c r="F240" s="20"/>
      <c r="G240" s="20"/>
      <c r="H240" s="4" t="s">
        <v>4</v>
      </c>
      <c r="I240" s="5">
        <f>IF($F$9="Monthly",$F$10,0)</f>
        <v>83.252217930602711</v>
      </c>
      <c r="J240" s="5">
        <f t="shared" ref="J240:J249" si="29">I240+J239</f>
        <v>26886.273908246494</v>
      </c>
      <c r="K240" s="6">
        <f t="shared" si="28"/>
        <v>194.92548583478708</v>
      </c>
      <c r="L240" s="20"/>
      <c r="M240" s="20"/>
      <c r="N240" s="20"/>
      <c r="O240" s="21"/>
    </row>
    <row r="241" spans="4:15">
      <c r="D241" s="19"/>
      <c r="E241" s="20"/>
      <c r="F241" s="20"/>
      <c r="G241" s="20"/>
      <c r="H241" s="4" t="s">
        <v>5</v>
      </c>
      <c r="I241" s="5">
        <f>IF(OR($F$9="Monthly",$F$9="Quarterly"),$F$10,0)</f>
        <v>83.252217930602711</v>
      </c>
      <c r="J241" s="5">
        <f t="shared" si="29"/>
        <v>26969.526126177097</v>
      </c>
      <c r="K241" s="6">
        <f t="shared" si="28"/>
        <v>195.52906441478396</v>
      </c>
      <c r="L241" s="20"/>
      <c r="M241" s="20"/>
      <c r="N241" s="20"/>
      <c r="O241" s="21"/>
    </row>
    <row r="242" spans="4:15">
      <c r="D242" s="19"/>
      <c r="E242" s="20"/>
      <c r="F242" s="20"/>
      <c r="G242" s="20"/>
      <c r="H242" s="4" t="s">
        <v>6</v>
      </c>
      <c r="I242" s="5">
        <f>IF($F$9="Monthly",$F$10,0)</f>
        <v>83.252217930602711</v>
      </c>
      <c r="J242" s="5">
        <f t="shared" si="29"/>
        <v>27052.778344107701</v>
      </c>
      <c r="K242" s="6">
        <f t="shared" si="28"/>
        <v>196.13264299478081</v>
      </c>
      <c r="L242" s="20"/>
      <c r="M242" s="20"/>
      <c r="N242" s="20"/>
      <c r="O242" s="21"/>
    </row>
    <row r="243" spans="4:15">
      <c r="D243" s="19"/>
      <c r="E243" s="20"/>
      <c r="F243" s="20"/>
      <c r="G243" s="20"/>
      <c r="H243" s="4" t="s">
        <v>7</v>
      </c>
      <c r="I243" s="5">
        <f>IF($F$9="Monthly",$F$10,0)</f>
        <v>83.252217930602711</v>
      </c>
      <c r="J243" s="5">
        <f t="shared" si="29"/>
        <v>27136.030562038304</v>
      </c>
      <c r="K243" s="6">
        <f t="shared" si="28"/>
        <v>196.73622157477769</v>
      </c>
      <c r="L243" s="20"/>
      <c r="M243" s="20"/>
      <c r="N243" s="20"/>
      <c r="O243" s="21"/>
    </row>
    <row r="244" spans="4:15">
      <c r="D244" s="19"/>
      <c r="E244" s="20"/>
      <c r="F244" s="20"/>
      <c r="G244" s="20"/>
      <c r="H244" s="4" t="s">
        <v>8</v>
      </c>
      <c r="I244" s="5">
        <f>IF($F$9&lt;&gt;"Annual",$F$10,0)</f>
        <v>83.252217930602711</v>
      </c>
      <c r="J244" s="5">
        <f t="shared" si="29"/>
        <v>27219.282779968908</v>
      </c>
      <c r="K244" s="6">
        <f t="shared" si="28"/>
        <v>197.33980015477457</v>
      </c>
      <c r="L244" s="20"/>
      <c r="M244" s="20"/>
      <c r="N244" s="20"/>
      <c r="O244" s="21"/>
    </row>
    <row r="245" spans="4:15">
      <c r="D245" s="19"/>
      <c r="E245" s="20"/>
      <c r="F245" s="20"/>
      <c r="G245" s="20"/>
      <c r="H245" s="4" t="s">
        <v>9</v>
      </c>
      <c r="I245" s="5">
        <f>IF($F$9="Monthly",$F$10,0)</f>
        <v>83.252217930602711</v>
      </c>
      <c r="J245" s="5">
        <f t="shared" si="29"/>
        <v>27302.534997899511</v>
      </c>
      <c r="K245" s="6">
        <f t="shared" si="28"/>
        <v>197.94337873477141</v>
      </c>
      <c r="L245" s="20"/>
      <c r="M245" s="20"/>
      <c r="N245" s="20"/>
      <c r="O245" s="21"/>
    </row>
    <row r="246" spans="4:15">
      <c r="D246" s="19"/>
      <c r="E246" s="20"/>
      <c r="F246" s="20"/>
      <c r="G246" s="20"/>
      <c r="H246" s="4" t="s">
        <v>10</v>
      </c>
      <c r="I246" s="5">
        <f>IF($F$9="Monthly",$F$10,0)</f>
        <v>83.252217930602711</v>
      </c>
      <c r="J246" s="5">
        <f t="shared" si="29"/>
        <v>27385.787215830114</v>
      </c>
      <c r="K246" s="6">
        <f t="shared" si="28"/>
        <v>198.54695731476832</v>
      </c>
      <c r="L246" s="20"/>
      <c r="M246" s="20"/>
      <c r="N246" s="20"/>
      <c r="O246" s="21"/>
    </row>
    <row r="247" spans="4:15">
      <c r="D247" s="19"/>
      <c r="E247" s="20"/>
      <c r="F247" s="20"/>
      <c r="G247" s="20"/>
      <c r="H247" s="4" t="s">
        <v>11</v>
      </c>
      <c r="I247" s="5">
        <f>IF(OR($F$9="Monthly",$F$9="Quarterly"),$F$10,0)</f>
        <v>83.252217930602711</v>
      </c>
      <c r="J247" s="5">
        <f t="shared" si="29"/>
        <v>27469.039433760718</v>
      </c>
      <c r="K247" s="6">
        <f t="shared" si="28"/>
        <v>199.1505358947652</v>
      </c>
      <c r="L247" s="20"/>
      <c r="M247" s="20"/>
      <c r="N247" s="20"/>
      <c r="O247" s="21"/>
    </row>
    <row r="248" spans="4:15">
      <c r="D248" s="19"/>
      <c r="E248" s="20"/>
      <c r="F248" s="20"/>
      <c r="G248" s="20"/>
      <c r="H248" s="4" t="s">
        <v>12</v>
      </c>
      <c r="I248" s="5">
        <f>IF($F$9="Monthly",$F$10,0)</f>
        <v>83.252217930602711</v>
      </c>
      <c r="J248" s="5">
        <f t="shared" si="29"/>
        <v>27552.291651691321</v>
      </c>
      <c r="K248" s="6">
        <f t="shared" si="28"/>
        <v>199.75411447476208</v>
      </c>
      <c r="L248" s="20"/>
      <c r="M248" s="20"/>
      <c r="N248" s="20"/>
      <c r="O248" s="21"/>
    </row>
    <row r="249" spans="4:15">
      <c r="D249" s="19"/>
      <c r="E249" s="20"/>
      <c r="F249" s="20"/>
      <c r="G249" s="20"/>
      <c r="H249" s="4" t="s">
        <v>13</v>
      </c>
      <c r="I249" s="5">
        <f>IF($F$9="Monthly",$F$10,0)</f>
        <v>83.252217930602711</v>
      </c>
      <c r="J249" s="5">
        <f t="shared" si="29"/>
        <v>27635.543869621924</v>
      </c>
      <c r="K249" s="6">
        <f t="shared" si="28"/>
        <v>200.35769305475893</v>
      </c>
      <c r="L249" s="20"/>
      <c r="M249" s="20"/>
      <c r="N249" s="20"/>
      <c r="O249" s="21"/>
    </row>
    <row r="250" spans="4:15">
      <c r="D250" s="19"/>
      <c r="E250" s="20"/>
      <c r="F250" s="20"/>
      <c r="G250" s="20"/>
      <c r="H250" s="7" t="s">
        <v>21</v>
      </c>
      <c r="I250" s="9"/>
      <c r="J250" s="9">
        <f>J249+SUM(K238:K249)</f>
        <v>29999.999999999236</v>
      </c>
      <c r="K250" s="10"/>
      <c r="L250" s="20"/>
      <c r="M250" s="20"/>
      <c r="N250" s="20"/>
      <c r="O250" s="21"/>
    </row>
    <row r="251" spans="4:15">
      <c r="D251" s="19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1"/>
    </row>
    <row r="252" spans="4:15" ht="16.2" thickBot="1">
      <c r="D252" s="22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4"/>
    </row>
  </sheetData>
  <mergeCells count="21">
    <mergeCell ref="D2:O3"/>
    <mergeCell ref="M8:N8"/>
    <mergeCell ref="E8:F8"/>
    <mergeCell ref="H8:K8"/>
    <mergeCell ref="H9:J9"/>
    <mergeCell ref="E13:F15"/>
    <mergeCell ref="H204:K204"/>
    <mergeCell ref="H220:K220"/>
    <mergeCell ref="H92:K92"/>
    <mergeCell ref="H12:K12"/>
    <mergeCell ref="H28:K28"/>
    <mergeCell ref="H60:K60"/>
    <mergeCell ref="H44:K44"/>
    <mergeCell ref="H76:K76"/>
    <mergeCell ref="H236:K236"/>
    <mergeCell ref="H108:K108"/>
    <mergeCell ref="H124:K124"/>
    <mergeCell ref="H140:K140"/>
    <mergeCell ref="H156:K156"/>
    <mergeCell ref="H172:K172"/>
    <mergeCell ref="H188:K188"/>
  </mergeCells>
  <phoneticPr fontId="0" type="noConversion"/>
  <dataValidations disablePrompts="1" count="1">
    <dataValidation type="list" allowBlank="1" showInputMessage="1" showErrorMessage="1" sqref="F9">
      <formula1>"Monthly,Quarterly,Half-Yearly,Annual"</formula1>
    </dataValidation>
  </dataValidations>
  <pageMargins left="0.7" right="0.7" top="0.75" bottom="0.75" header="0.3" footer="0.3"/>
  <ignoredErrors>
    <ignoredError sqref="I17:I23 I33:I39 I49:I55 I65:I71 I81:I87 I97:I103 I113:I119 I129:I135 I145:I151 I161:I167 I177:I183 I193:I199 I209:I215 I225:I231 I241:I247" formula="1"/>
  </ignoredError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12"/>
  <sheetViews>
    <sheetView workbookViewId="0">
      <selection activeCell="F11" sqref="F11"/>
    </sheetView>
  </sheetViews>
  <sheetFormatPr defaultRowHeight="15.6"/>
  <cols>
    <col min="5" max="5" width="14" bestFit="1" customWidth="1"/>
    <col min="6" max="6" width="8.8984375" bestFit="1" customWidth="1"/>
    <col min="9" max="9" width="11.3984375" bestFit="1" customWidth="1"/>
    <col min="11" max="16" width="0" hidden="1" customWidth="1"/>
  </cols>
  <sheetData>
    <row r="1" spans="1:15">
      <c r="A1" s="58" t="s">
        <v>51</v>
      </c>
      <c r="L1" t="str">
        <f>'PPF Calculator'!F9</f>
        <v>Monthly</v>
      </c>
      <c r="N1" t="s">
        <v>39</v>
      </c>
      <c r="O1">
        <v>12</v>
      </c>
    </row>
    <row r="2" spans="1:15">
      <c r="A2" s="59" t="s">
        <v>52</v>
      </c>
      <c r="L2">
        <f>INDEX(N1:O4,MATCH(L1,N1:N4,0),2)</f>
        <v>12</v>
      </c>
      <c r="N2" t="s">
        <v>59</v>
      </c>
      <c r="O2">
        <v>4</v>
      </c>
    </row>
    <row r="3" spans="1:15">
      <c r="A3" s="20"/>
      <c r="N3" t="s">
        <v>60</v>
      </c>
      <c r="O3">
        <v>2</v>
      </c>
    </row>
    <row r="4" spans="1:15">
      <c r="A4" t="s">
        <v>53</v>
      </c>
      <c r="B4" t="s">
        <v>54</v>
      </c>
      <c r="E4" s="61">
        <v>30000</v>
      </c>
      <c r="F4" t="s">
        <v>61</v>
      </c>
      <c r="I4" s="61">
        <v>150000</v>
      </c>
      <c r="N4" t="s">
        <v>50</v>
      </c>
      <c r="O4">
        <v>1</v>
      </c>
    </row>
    <row r="6" spans="1:15">
      <c r="A6" t="s">
        <v>55</v>
      </c>
      <c r="B6" t="s">
        <v>57</v>
      </c>
    </row>
    <row r="8" spans="1:15">
      <c r="A8" t="s">
        <v>56</v>
      </c>
    </row>
    <row r="11" spans="1:15">
      <c r="A11" t="s">
        <v>58</v>
      </c>
      <c r="F11" s="62">
        <v>83.252217930602711</v>
      </c>
    </row>
    <row r="12" spans="1:15">
      <c r="A12" s="63" t="str">
        <f>IF(F11*L2&gt;I4, "Answer is above investment limit. Choose lower maturity value and repeat step 3","")</f>
        <v/>
      </c>
      <c r="B12" s="64"/>
      <c r="C12" s="64"/>
      <c r="D12" s="64"/>
      <c r="E12" s="64"/>
      <c r="F12" s="64"/>
      <c r="G12" s="64"/>
      <c r="H12" s="64"/>
      <c r="I12" s="6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D1:AD266"/>
  <sheetViews>
    <sheetView showGridLines="0" tabSelected="1" topLeftCell="D1" zoomScale="115" zoomScaleNormal="115" workbookViewId="0">
      <selection activeCell="F255" sqref="F255"/>
    </sheetView>
  </sheetViews>
  <sheetFormatPr defaultColWidth="9" defaultRowHeight="15.6"/>
  <cols>
    <col min="1" max="4" width="4.59765625" style="25" customWidth="1"/>
    <col min="5" max="5" width="18.8984375" style="25" bestFit="1" customWidth="1"/>
    <col min="6" max="6" width="14.8984375" style="25" customWidth="1"/>
    <col min="7" max="7" width="12" style="25" bestFit="1" customWidth="1"/>
    <col min="8" max="8" width="10.8984375" style="25" customWidth="1"/>
    <col min="9" max="9" width="1.8984375" style="64" customWidth="1"/>
    <col min="10" max="10" width="9" style="25"/>
    <col min="11" max="11" width="9.3984375" style="25" bestFit="1" customWidth="1"/>
    <col min="12" max="12" width="11.8984375" style="25" bestFit="1" customWidth="1"/>
    <col min="13" max="13" width="9.3984375" style="25" bestFit="1" customWidth="1"/>
    <col min="14" max="14" width="12" style="25" hidden="1" customWidth="1"/>
    <col min="15" max="15" width="11.59765625" style="25" bestFit="1" customWidth="1"/>
    <col min="16" max="16" width="9" style="25"/>
    <col min="17" max="17" width="16.09765625" style="25" bestFit="1" customWidth="1"/>
    <col min="18" max="18" width="13.8984375" style="25" customWidth="1"/>
    <col min="19" max="23" width="4.59765625" style="25" customWidth="1"/>
    <col min="24" max="16384" width="9" style="25"/>
  </cols>
  <sheetData>
    <row r="1" spans="4:30" ht="16.5" customHeight="1" thickBot="1">
      <c r="E1" s="49"/>
      <c r="I1" s="25"/>
      <c r="AD1" s="25" t="s">
        <v>65</v>
      </c>
    </row>
    <row r="2" spans="4:30" ht="16.5" customHeight="1">
      <c r="D2" s="115" t="s">
        <v>41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7"/>
      <c r="AD2" s="25" t="s">
        <v>66</v>
      </c>
    </row>
    <row r="3" spans="4:30" ht="16.5" customHeight="1" thickBot="1">
      <c r="D3" s="118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20"/>
    </row>
    <row r="4" spans="4:30" ht="16.5" customHeight="1">
      <c r="D4" s="16"/>
      <c r="E4" s="17"/>
      <c r="F4" s="17"/>
      <c r="G4" s="17"/>
      <c r="H4" s="17"/>
      <c r="I4" s="67"/>
      <c r="J4" s="56"/>
      <c r="K4" s="17"/>
      <c r="L4" s="17"/>
      <c r="M4" s="17"/>
      <c r="N4" s="17"/>
      <c r="O4" s="17"/>
      <c r="P4" s="17"/>
      <c r="Q4" s="17"/>
      <c r="R4" s="17"/>
      <c r="S4" s="18"/>
    </row>
    <row r="5" spans="4:30" ht="16.5" customHeight="1">
      <c r="D5" s="16"/>
      <c r="E5" s="57" t="s">
        <v>49</v>
      </c>
      <c r="F5" s="17"/>
      <c r="G5" s="17"/>
      <c r="H5" s="17"/>
      <c r="I5" s="67"/>
      <c r="J5" s="66"/>
      <c r="K5" s="17"/>
      <c r="L5" s="17"/>
      <c r="M5" s="17"/>
      <c r="N5" s="17"/>
      <c r="O5" s="17"/>
      <c r="P5" s="17"/>
      <c r="Q5" s="17"/>
      <c r="R5" s="17"/>
      <c r="S5" s="18"/>
    </row>
    <row r="6" spans="4:30" ht="16.5" customHeight="1">
      <c r="D6" s="16"/>
      <c r="E6" s="17"/>
      <c r="F6" s="17"/>
      <c r="G6" s="17"/>
      <c r="H6" s="17"/>
      <c r="I6" s="67"/>
      <c r="J6" s="56"/>
      <c r="K6" s="17"/>
      <c r="L6" s="17"/>
      <c r="M6" s="17"/>
      <c r="N6" s="17"/>
      <c r="O6" s="17"/>
      <c r="P6" s="17"/>
      <c r="Q6" s="17"/>
      <c r="R6" s="17"/>
      <c r="S6" s="18"/>
    </row>
    <row r="7" spans="4:30" ht="16.5" customHeight="1" thickBot="1">
      <c r="D7" s="16"/>
      <c r="E7" s="51"/>
      <c r="F7" s="51"/>
      <c r="G7" s="51"/>
      <c r="H7" s="17"/>
      <c r="I7" s="67"/>
      <c r="J7" s="66"/>
      <c r="K7" s="17"/>
      <c r="L7" s="17"/>
      <c r="M7" s="17"/>
      <c r="N7" s="17"/>
      <c r="O7" s="17"/>
      <c r="P7" s="17"/>
      <c r="Q7" s="17"/>
      <c r="R7" s="17"/>
      <c r="S7" s="18"/>
    </row>
    <row r="8" spans="4:30" ht="16.2" thickBot="1">
      <c r="D8" s="19"/>
      <c r="E8" s="121"/>
      <c r="F8" s="121"/>
      <c r="G8" s="65"/>
      <c r="H8" s="20"/>
      <c r="I8" s="68"/>
      <c r="J8" s="36" t="s">
        <v>42</v>
      </c>
      <c r="K8" s="37"/>
      <c r="L8" s="38"/>
      <c r="M8" s="35"/>
      <c r="N8" s="65"/>
      <c r="O8" s="65"/>
      <c r="P8" s="20"/>
      <c r="Q8" s="121"/>
      <c r="R8" s="121"/>
      <c r="S8" s="21"/>
    </row>
    <row r="9" spans="4:30">
      <c r="D9" s="19"/>
      <c r="E9" s="52"/>
      <c r="F9" s="52"/>
      <c r="G9" s="52"/>
      <c r="H9" s="20"/>
      <c r="I9" s="68"/>
      <c r="J9" s="40" t="s">
        <v>43</v>
      </c>
      <c r="K9" s="40"/>
      <c r="L9" s="40"/>
      <c r="M9" s="39"/>
      <c r="N9" s="20"/>
      <c r="O9" s="65"/>
      <c r="P9" s="20"/>
      <c r="Q9" s="47"/>
      <c r="R9" s="48"/>
      <c r="S9" s="21"/>
    </row>
    <row r="10" spans="4:30">
      <c r="D10" s="19"/>
      <c r="E10" s="52"/>
      <c r="F10" s="53"/>
      <c r="G10" s="53"/>
      <c r="H10" s="20"/>
      <c r="I10" s="68"/>
      <c r="J10" s="20"/>
      <c r="K10" s="20"/>
      <c r="L10" s="20"/>
      <c r="M10" s="20"/>
      <c r="N10" s="20"/>
      <c r="O10" s="20"/>
      <c r="P10" s="20"/>
      <c r="Q10" s="20"/>
      <c r="R10" s="20"/>
      <c r="S10" s="21"/>
    </row>
    <row r="11" spans="4:30">
      <c r="D11" s="19"/>
      <c r="E11" s="20"/>
      <c r="F11" s="20"/>
      <c r="G11" s="20"/>
      <c r="H11" s="20"/>
      <c r="I11" s="68"/>
      <c r="J11" s="20"/>
      <c r="K11" s="20"/>
      <c r="L11" s="20"/>
      <c r="M11" s="20"/>
      <c r="N11" s="20"/>
      <c r="O11" s="20"/>
      <c r="P11" s="20"/>
      <c r="Q11" s="20"/>
      <c r="R11" s="20"/>
      <c r="S11" s="21"/>
    </row>
    <row r="12" spans="4:30">
      <c r="D12" s="19"/>
      <c r="E12" s="20" t="s">
        <v>45</v>
      </c>
      <c r="F12" s="20"/>
      <c r="G12" s="20"/>
      <c r="H12" s="20"/>
      <c r="I12" s="68"/>
      <c r="J12" s="99" t="s">
        <v>44</v>
      </c>
      <c r="K12" s="100"/>
      <c r="L12" s="100"/>
      <c r="M12" s="101"/>
      <c r="N12" s="74"/>
      <c r="O12" s="74"/>
      <c r="P12" s="20"/>
      <c r="Q12" s="20"/>
      <c r="R12" s="20"/>
      <c r="S12" s="21"/>
    </row>
    <row r="13" spans="4:30">
      <c r="D13" s="19"/>
      <c r="E13" s="46" t="s">
        <v>46</v>
      </c>
      <c r="F13" s="45"/>
      <c r="G13" s="95" t="s">
        <v>81</v>
      </c>
      <c r="H13" s="70" t="s">
        <v>64</v>
      </c>
      <c r="I13" s="68"/>
      <c r="J13" s="1" t="s">
        <v>1</v>
      </c>
      <c r="K13" s="30" t="s">
        <v>14</v>
      </c>
      <c r="L13" s="2" t="s">
        <v>0</v>
      </c>
      <c r="M13" s="3" t="s">
        <v>15</v>
      </c>
      <c r="O13" s="72"/>
      <c r="P13" s="68"/>
      <c r="Q13" s="68"/>
      <c r="R13" s="20"/>
      <c r="S13" s="21"/>
    </row>
    <row r="14" spans="4:30">
      <c r="D14" s="19"/>
      <c r="E14" s="45"/>
      <c r="F14" s="45"/>
      <c r="G14" s="34">
        <v>8.6999999999999994E-2</v>
      </c>
      <c r="H14" s="71" t="s">
        <v>65</v>
      </c>
      <c r="I14" s="69"/>
      <c r="J14" s="28" t="s">
        <v>2</v>
      </c>
      <c r="K14" s="32">
        <v>5000</v>
      </c>
      <c r="L14" s="29">
        <f>$M$9+IF(H14="before 5th",K14,0)</f>
        <v>5000</v>
      </c>
      <c r="M14" s="6">
        <f>L14*G14/12</f>
        <v>36.249999999999993</v>
      </c>
      <c r="O14" s="73"/>
      <c r="P14" s="96"/>
      <c r="Q14" s="68"/>
      <c r="R14" s="20"/>
      <c r="S14" s="21"/>
    </row>
    <row r="15" spans="4:30">
      <c r="D15" s="19"/>
      <c r="E15" s="45"/>
      <c r="F15" s="45"/>
      <c r="G15" s="34">
        <v>8.6999999999999994E-2</v>
      </c>
      <c r="H15" s="71" t="s">
        <v>65</v>
      </c>
      <c r="I15" s="68"/>
      <c r="J15" s="28" t="s">
        <v>3</v>
      </c>
      <c r="K15" s="32">
        <v>5000</v>
      </c>
      <c r="L15" s="29">
        <f>SUM($K$14:K14)+$M$9+IF(H15="before 5th",K15,0)</f>
        <v>10000</v>
      </c>
      <c r="M15" s="6">
        <f t="shared" ref="M15:M25" si="0">L15*G15/12</f>
        <v>72.499999999999986</v>
      </c>
      <c r="O15" s="73"/>
      <c r="P15" s="20" t="s">
        <v>40</v>
      </c>
      <c r="Q15" s="20"/>
      <c r="R15" s="20"/>
      <c r="S15" s="21"/>
    </row>
    <row r="16" spans="4:30">
      <c r="D16" s="19"/>
      <c r="E16" s="20"/>
      <c r="F16" s="20"/>
      <c r="G16" s="34">
        <v>8.6999999999999994E-2</v>
      </c>
      <c r="H16" s="71" t="s">
        <v>65</v>
      </c>
      <c r="I16" s="68"/>
      <c r="J16" s="28" t="s">
        <v>4</v>
      </c>
      <c r="K16" s="32">
        <v>5000</v>
      </c>
      <c r="L16" s="29">
        <f>SUM($K$14:K15)+$M$9+IF(H16="before 5th",K16,0)</f>
        <v>15000</v>
      </c>
      <c r="M16" s="6">
        <f t="shared" si="0"/>
        <v>108.75</v>
      </c>
      <c r="O16" s="77"/>
      <c r="P16" s="33">
        <v>150000</v>
      </c>
      <c r="Q16" s="20"/>
      <c r="R16" s="20"/>
      <c r="S16" s="21"/>
    </row>
    <row r="17" spans="4:19">
      <c r="D17" s="19"/>
      <c r="E17" s="20"/>
      <c r="F17" s="20"/>
      <c r="G17" s="34">
        <v>8.6999999999999994E-2</v>
      </c>
      <c r="H17" s="71" t="s">
        <v>65</v>
      </c>
      <c r="I17" s="68"/>
      <c r="J17" s="28" t="s">
        <v>5</v>
      </c>
      <c r="K17" s="32">
        <v>5000</v>
      </c>
      <c r="L17" s="29">
        <f>SUM($K$14:K16)+$M$9+IF(H17="before 5th",K17,0)</f>
        <v>20000</v>
      </c>
      <c r="M17" s="6">
        <f t="shared" si="0"/>
        <v>144.99999999999997</v>
      </c>
      <c r="O17" s="73"/>
      <c r="P17" s="42" t="str">
        <f>IF(SUM(K14:K25)&gt;P16,"Warning: total investment exceeds allowed limit","")</f>
        <v/>
      </c>
      <c r="Q17" s="43"/>
      <c r="R17" s="43"/>
      <c r="S17" s="44"/>
    </row>
    <row r="18" spans="4:19">
      <c r="D18" s="19"/>
      <c r="E18" s="20"/>
      <c r="F18" s="20"/>
      <c r="G18" s="34">
        <v>8.6999999999999994E-2</v>
      </c>
      <c r="H18" s="71" t="s">
        <v>65</v>
      </c>
      <c r="I18" s="68"/>
      <c r="J18" s="28" t="s">
        <v>6</v>
      </c>
      <c r="K18" s="32">
        <v>5000</v>
      </c>
      <c r="L18" s="29">
        <f>SUM($K$14:K17)+$M$9+IF(H18="before 5th",K18,0)</f>
        <v>25000</v>
      </c>
      <c r="M18" s="6">
        <f t="shared" si="0"/>
        <v>181.25</v>
      </c>
      <c r="O18" s="73"/>
      <c r="P18" s="20"/>
      <c r="Q18" s="20"/>
      <c r="R18" s="20"/>
      <c r="S18" s="21"/>
    </row>
    <row r="19" spans="4:19">
      <c r="D19" s="19"/>
      <c r="E19" s="20"/>
      <c r="F19" s="20"/>
      <c r="G19" s="34">
        <v>8.6999999999999994E-2</v>
      </c>
      <c r="H19" s="71" t="s">
        <v>65</v>
      </c>
      <c r="I19" s="68"/>
      <c r="J19" s="28" t="s">
        <v>7</v>
      </c>
      <c r="K19" s="32">
        <v>5000</v>
      </c>
      <c r="L19" s="29">
        <f>SUM($K$14:K18)+$M$9+IF(H19="before 5th",K19,0)</f>
        <v>30000</v>
      </c>
      <c r="M19" s="6">
        <f t="shared" si="0"/>
        <v>217.5</v>
      </c>
      <c r="O19" s="73"/>
      <c r="P19" s="20"/>
      <c r="Q19" s="20"/>
      <c r="R19" s="20"/>
      <c r="S19" s="21"/>
    </row>
    <row r="20" spans="4:19">
      <c r="D20" s="19"/>
      <c r="E20" s="20"/>
      <c r="F20" s="20"/>
      <c r="G20" s="34">
        <v>8.6999999999999994E-2</v>
      </c>
      <c r="H20" s="71" t="s">
        <v>65</v>
      </c>
      <c r="I20" s="68"/>
      <c r="J20" s="28" t="s">
        <v>8</v>
      </c>
      <c r="K20" s="32">
        <v>5000</v>
      </c>
      <c r="L20" s="29">
        <f>SUM($K$14:K19)+$M$9+IF(H20="before 5th",K20,0)</f>
        <v>35000</v>
      </c>
      <c r="M20" s="6">
        <f t="shared" si="0"/>
        <v>253.75</v>
      </c>
      <c r="O20" s="73"/>
      <c r="P20" s="20"/>
      <c r="Q20" s="20"/>
      <c r="R20" s="20"/>
      <c r="S20" s="21"/>
    </row>
    <row r="21" spans="4:19">
      <c r="D21" s="19"/>
      <c r="E21" s="20"/>
      <c r="F21" s="20"/>
      <c r="G21" s="34">
        <v>8.6999999999999994E-2</v>
      </c>
      <c r="H21" s="71" t="s">
        <v>65</v>
      </c>
      <c r="I21" s="68"/>
      <c r="J21" s="28" t="s">
        <v>9</v>
      </c>
      <c r="K21" s="32">
        <v>5000</v>
      </c>
      <c r="L21" s="29">
        <f>SUM($K$14:K20)+$M$9+IF(H21="before 5th",K21,0)</f>
        <v>40000</v>
      </c>
      <c r="M21" s="6">
        <f t="shared" si="0"/>
        <v>289.99999999999994</v>
      </c>
      <c r="O21" s="73"/>
      <c r="P21" s="20"/>
      <c r="Q21" s="20"/>
      <c r="R21" s="20"/>
      <c r="S21" s="21"/>
    </row>
    <row r="22" spans="4:19">
      <c r="D22" s="19"/>
      <c r="E22" s="20"/>
      <c r="F22" s="20"/>
      <c r="G22" s="34">
        <v>8.6999999999999994E-2</v>
      </c>
      <c r="H22" s="71" t="s">
        <v>65</v>
      </c>
      <c r="I22" s="68"/>
      <c r="J22" s="28" t="s">
        <v>10</v>
      </c>
      <c r="K22" s="32">
        <v>5000</v>
      </c>
      <c r="L22" s="29">
        <f>SUM($K$14:K21)+$M$9+IF(H22="before 5th",K22,0)</f>
        <v>45000</v>
      </c>
      <c r="M22" s="6">
        <f t="shared" si="0"/>
        <v>326.24999999999994</v>
      </c>
      <c r="O22" s="73"/>
      <c r="P22" s="20"/>
      <c r="Q22" s="20"/>
      <c r="R22" s="20"/>
      <c r="S22" s="21"/>
    </row>
    <row r="23" spans="4:19">
      <c r="D23" s="19"/>
      <c r="E23" s="20"/>
      <c r="F23" s="20"/>
      <c r="G23" s="34">
        <v>8.6999999999999994E-2</v>
      </c>
      <c r="H23" s="71" t="s">
        <v>65</v>
      </c>
      <c r="I23" s="68"/>
      <c r="J23" s="28" t="s">
        <v>11</v>
      </c>
      <c r="K23" s="32">
        <v>5000</v>
      </c>
      <c r="L23" s="29">
        <f>SUM($K$14:K22)+$M$9+IF(H23="before 5th",K23,0)</f>
        <v>50000</v>
      </c>
      <c r="M23" s="6">
        <f t="shared" si="0"/>
        <v>362.5</v>
      </c>
      <c r="O23" s="73"/>
      <c r="P23" s="20"/>
      <c r="Q23" s="20"/>
      <c r="R23" s="20"/>
      <c r="S23" s="21"/>
    </row>
    <row r="24" spans="4:19">
      <c r="D24" s="19"/>
      <c r="E24" s="20"/>
      <c r="F24" s="20"/>
      <c r="G24" s="34">
        <v>8.6999999999999994E-2</v>
      </c>
      <c r="H24" s="71" t="s">
        <v>65</v>
      </c>
      <c r="I24" s="68"/>
      <c r="J24" s="28" t="s">
        <v>12</v>
      </c>
      <c r="K24" s="32">
        <v>5000</v>
      </c>
      <c r="L24" s="29">
        <f>SUM($K$14:K23)+$M$9+IF(H24="before 5th",K24,0)</f>
        <v>55000</v>
      </c>
      <c r="M24" s="6">
        <f t="shared" si="0"/>
        <v>398.75</v>
      </c>
      <c r="O24" s="73"/>
      <c r="P24" s="20"/>
      <c r="Q24" s="20"/>
      <c r="R24" s="20"/>
      <c r="S24" s="21"/>
    </row>
    <row r="25" spans="4:19">
      <c r="D25" s="19"/>
      <c r="E25" s="20"/>
      <c r="F25" s="20"/>
      <c r="G25" s="34">
        <v>8.6999999999999994E-2</v>
      </c>
      <c r="H25" s="71" t="s">
        <v>65</v>
      </c>
      <c r="I25" s="68"/>
      <c r="J25" s="28" t="s">
        <v>13</v>
      </c>
      <c r="K25" s="32">
        <v>5000</v>
      </c>
      <c r="L25" s="29">
        <f>SUM($K$14:K24)+$M$9+IF(H25="before 5th",K25,0)</f>
        <v>60000</v>
      </c>
      <c r="M25" s="6">
        <f t="shared" si="0"/>
        <v>435</v>
      </c>
      <c r="O25" s="73"/>
      <c r="P25" s="20"/>
      <c r="Q25" s="20"/>
      <c r="R25" s="20"/>
      <c r="S25" s="21"/>
    </row>
    <row r="26" spans="4:19">
      <c r="D26" s="19"/>
      <c r="E26" s="20"/>
      <c r="F26" s="20"/>
      <c r="G26" s="20"/>
      <c r="H26" s="20"/>
      <c r="I26" s="68"/>
      <c r="J26" s="7" t="s">
        <v>21</v>
      </c>
      <c r="K26" s="31"/>
      <c r="L26" s="9">
        <f>SUM(K14:K25)+SUM(M14:M25)+M9</f>
        <v>62827.5</v>
      </c>
      <c r="M26" s="10"/>
      <c r="N26" s="73"/>
      <c r="O26" s="73"/>
      <c r="P26" s="20"/>
      <c r="Q26" s="20"/>
      <c r="R26" s="20"/>
      <c r="S26" s="21"/>
    </row>
    <row r="27" spans="4:19">
      <c r="D27" s="19"/>
      <c r="E27" s="20"/>
      <c r="F27" s="20"/>
      <c r="G27" s="20"/>
      <c r="H27" s="20"/>
      <c r="I27" s="68"/>
      <c r="J27" s="20"/>
      <c r="K27" s="20"/>
      <c r="L27" s="20"/>
      <c r="M27" s="20"/>
      <c r="N27" s="20"/>
      <c r="O27" s="20"/>
      <c r="P27" s="20"/>
      <c r="Q27" s="20"/>
      <c r="R27" s="20"/>
      <c r="S27" s="21"/>
    </row>
    <row r="28" spans="4:19">
      <c r="D28" s="19"/>
      <c r="E28" s="20"/>
      <c r="F28" s="20"/>
      <c r="G28" s="20"/>
      <c r="H28" s="20"/>
      <c r="I28" s="68"/>
      <c r="J28" s="99" t="s">
        <v>17</v>
      </c>
      <c r="K28" s="100"/>
      <c r="L28" s="100"/>
      <c r="M28" s="101"/>
      <c r="N28" s="74"/>
      <c r="O28" s="74"/>
      <c r="P28" s="20"/>
      <c r="Q28" s="20"/>
      <c r="R28" s="20"/>
      <c r="S28" s="21"/>
    </row>
    <row r="29" spans="4:19">
      <c r="D29" s="19"/>
      <c r="E29" s="20"/>
      <c r="F29" s="20"/>
      <c r="G29" s="95" t="s">
        <v>81</v>
      </c>
      <c r="H29" s="70" t="s">
        <v>64</v>
      </c>
      <c r="I29" s="68"/>
      <c r="J29" s="1" t="s">
        <v>1</v>
      </c>
      <c r="K29" s="2" t="s">
        <v>14</v>
      </c>
      <c r="L29" s="2" t="s">
        <v>0</v>
      </c>
      <c r="M29" s="3" t="s">
        <v>15</v>
      </c>
      <c r="N29" s="72"/>
      <c r="O29" s="72"/>
      <c r="P29" s="68"/>
      <c r="Q29" s="68"/>
      <c r="R29" s="20"/>
      <c r="S29" s="21"/>
    </row>
    <row r="30" spans="4:19">
      <c r="D30" s="19"/>
      <c r="E30" s="20"/>
      <c r="F30" s="20"/>
      <c r="G30" s="34">
        <v>8.6999999999999994E-2</v>
      </c>
      <c r="H30" s="71" t="s">
        <v>65</v>
      </c>
      <c r="I30" s="68"/>
      <c r="J30" s="4" t="s">
        <v>2</v>
      </c>
      <c r="K30" s="32"/>
      <c r="L30" s="29">
        <f>$L$26+IF(H30="before 5th",K30,0)</f>
        <v>62827.5</v>
      </c>
      <c r="M30" s="6">
        <f>L30*G30/12</f>
        <v>455.49937499999993</v>
      </c>
      <c r="N30" s="77"/>
      <c r="O30" s="73"/>
      <c r="P30" s="96"/>
      <c r="Q30" s="68"/>
      <c r="R30" s="20"/>
      <c r="S30" s="21"/>
    </row>
    <row r="31" spans="4:19">
      <c r="D31" s="19"/>
      <c r="E31" s="20"/>
      <c r="F31" s="20"/>
      <c r="G31" s="34">
        <v>8.6999999999999994E-2</v>
      </c>
      <c r="H31" s="71" t="s">
        <v>65</v>
      </c>
      <c r="I31" s="68"/>
      <c r="J31" s="4" t="s">
        <v>3</v>
      </c>
      <c r="K31" s="32"/>
      <c r="L31" s="29">
        <f>SUM($K$30:K30)+$L$26+IF(H31="before 5th",K31,0)</f>
        <v>62827.5</v>
      </c>
      <c r="M31" s="6">
        <f t="shared" ref="M31:M41" si="1">L31*G31/12</f>
        <v>455.49937499999993</v>
      </c>
      <c r="N31" s="73"/>
      <c r="O31" s="73"/>
      <c r="P31" s="20" t="s">
        <v>40</v>
      </c>
      <c r="Q31" s="20"/>
      <c r="R31" s="20"/>
      <c r="S31" s="21"/>
    </row>
    <row r="32" spans="4:19">
      <c r="D32" s="19"/>
      <c r="E32" s="20"/>
      <c r="F32" s="20"/>
      <c r="G32" s="34">
        <v>8.6999999999999994E-2</v>
      </c>
      <c r="H32" s="71" t="s">
        <v>65</v>
      </c>
      <c r="I32" s="68"/>
      <c r="J32" s="4" t="s">
        <v>4</v>
      </c>
      <c r="K32" s="32"/>
      <c r="L32" s="29">
        <f>SUM($K$30:K31)+$L$26+IF(H32="before 5th",K32,0)</f>
        <v>62827.5</v>
      </c>
      <c r="M32" s="6">
        <f t="shared" si="1"/>
        <v>455.49937499999993</v>
      </c>
      <c r="N32" s="77"/>
      <c r="O32" s="77"/>
      <c r="P32" s="33">
        <v>150000</v>
      </c>
      <c r="Q32" s="20"/>
      <c r="R32" s="20"/>
      <c r="S32" s="21"/>
    </row>
    <row r="33" spans="4:19">
      <c r="D33" s="19"/>
      <c r="E33" s="20"/>
      <c r="F33" s="20"/>
      <c r="G33" s="34">
        <v>8.6999999999999994E-2</v>
      </c>
      <c r="H33" s="71" t="s">
        <v>65</v>
      </c>
      <c r="I33" s="68"/>
      <c r="J33" s="4" t="s">
        <v>5</v>
      </c>
      <c r="K33" s="32"/>
      <c r="L33" s="29">
        <f>SUM($K$30:K32)+$L$26+IF(H33="before 5th",K33,0)</f>
        <v>62827.5</v>
      </c>
      <c r="M33" s="6">
        <f t="shared" si="1"/>
        <v>455.49937499999993</v>
      </c>
      <c r="N33" s="73"/>
      <c r="O33" s="73"/>
      <c r="P33" s="41" t="str">
        <f>IF(SUM(K30:K41)&gt;P32,"Warning: total investment exceeds allowed limit","")</f>
        <v/>
      </c>
      <c r="Q33" s="49"/>
      <c r="R33" s="49"/>
      <c r="S33" s="50"/>
    </row>
    <row r="34" spans="4:19">
      <c r="D34" s="19"/>
      <c r="E34" s="20"/>
      <c r="F34" s="20"/>
      <c r="G34" s="34">
        <v>8.6999999999999994E-2</v>
      </c>
      <c r="H34" s="71" t="s">
        <v>65</v>
      </c>
      <c r="I34" s="68"/>
      <c r="J34" s="4" t="s">
        <v>6</v>
      </c>
      <c r="K34" s="32"/>
      <c r="L34" s="29">
        <f>SUM($K$30:K33)+$L$26+IF(H34="before 5th",K34,0)</f>
        <v>62827.5</v>
      </c>
      <c r="M34" s="6">
        <f t="shared" si="1"/>
        <v>455.49937499999993</v>
      </c>
      <c r="N34" s="73"/>
      <c r="O34" s="73"/>
      <c r="P34" s="20"/>
      <c r="Q34" s="20"/>
      <c r="R34" s="20"/>
      <c r="S34" s="21"/>
    </row>
    <row r="35" spans="4:19">
      <c r="D35" s="19"/>
      <c r="E35" s="20"/>
      <c r="F35" s="20"/>
      <c r="G35" s="34">
        <v>8.6999999999999994E-2</v>
      </c>
      <c r="H35" s="71" t="s">
        <v>65</v>
      </c>
      <c r="I35" s="68"/>
      <c r="J35" s="4" t="s">
        <v>7</v>
      </c>
      <c r="K35" s="32"/>
      <c r="L35" s="29">
        <f>SUM($K$30:K34)+$L$26+IF(H35="before 5th",K35,0)</f>
        <v>62827.5</v>
      </c>
      <c r="M35" s="6">
        <f t="shared" si="1"/>
        <v>455.49937499999993</v>
      </c>
      <c r="N35" s="73"/>
      <c r="O35" s="73"/>
      <c r="P35" s="20"/>
      <c r="Q35" s="20"/>
      <c r="R35" s="20"/>
      <c r="S35" s="21"/>
    </row>
    <row r="36" spans="4:19">
      <c r="D36" s="19"/>
      <c r="E36" s="20"/>
      <c r="F36" s="20"/>
      <c r="G36" s="34">
        <v>8.6999999999999994E-2</v>
      </c>
      <c r="H36" s="71" t="s">
        <v>65</v>
      </c>
      <c r="I36" s="68"/>
      <c r="J36" s="4" t="s">
        <v>8</v>
      </c>
      <c r="K36" s="32"/>
      <c r="L36" s="29">
        <f>SUM($K$30:K35)+$L$26+IF(H36="before 5th",K36,0)</f>
        <v>62827.5</v>
      </c>
      <c r="M36" s="6">
        <f t="shared" si="1"/>
        <v>455.49937499999993</v>
      </c>
      <c r="N36" s="73"/>
      <c r="O36" s="73"/>
      <c r="P36" s="20"/>
      <c r="Q36" s="20"/>
      <c r="R36" s="20"/>
      <c r="S36" s="21"/>
    </row>
    <row r="37" spans="4:19">
      <c r="D37" s="19"/>
      <c r="E37" s="20"/>
      <c r="F37" s="20"/>
      <c r="G37" s="34">
        <v>8.6999999999999994E-2</v>
      </c>
      <c r="H37" s="71" t="s">
        <v>65</v>
      </c>
      <c r="I37" s="68"/>
      <c r="J37" s="4" t="s">
        <v>9</v>
      </c>
      <c r="K37" s="32"/>
      <c r="L37" s="29">
        <f>SUM($K$30:K36)+$L$26+IF(H37="before 5th",K37,0)</f>
        <v>62827.5</v>
      </c>
      <c r="M37" s="6">
        <f t="shared" si="1"/>
        <v>455.49937499999993</v>
      </c>
      <c r="N37" s="73"/>
      <c r="O37" s="73"/>
      <c r="P37" s="20"/>
      <c r="Q37" s="20"/>
      <c r="R37" s="20"/>
      <c r="S37" s="21"/>
    </row>
    <row r="38" spans="4:19">
      <c r="D38" s="19"/>
      <c r="E38" s="20"/>
      <c r="F38" s="20"/>
      <c r="G38" s="34">
        <v>8.6999999999999994E-2</v>
      </c>
      <c r="H38" s="71" t="s">
        <v>65</v>
      </c>
      <c r="I38" s="68"/>
      <c r="J38" s="4" t="s">
        <v>10</v>
      </c>
      <c r="K38" s="32"/>
      <c r="L38" s="29">
        <f>SUM($K$30:K37)+$L$26+IF(H38="before 5th",K38,0)</f>
        <v>62827.5</v>
      </c>
      <c r="M38" s="6">
        <f t="shared" si="1"/>
        <v>455.49937499999993</v>
      </c>
      <c r="N38" s="73"/>
      <c r="O38" s="73"/>
      <c r="P38" s="20"/>
      <c r="Q38" s="20"/>
      <c r="R38" s="20"/>
      <c r="S38" s="21"/>
    </row>
    <row r="39" spans="4:19">
      <c r="D39" s="19"/>
      <c r="E39" s="20"/>
      <c r="F39" s="20"/>
      <c r="G39" s="34">
        <v>8.6999999999999994E-2</v>
      </c>
      <c r="H39" s="71" t="s">
        <v>65</v>
      </c>
      <c r="I39" s="68"/>
      <c r="J39" s="4" t="s">
        <v>11</v>
      </c>
      <c r="K39" s="32"/>
      <c r="L39" s="29">
        <f>SUM($K$30:K38)+$L$26+IF(H39="before 5th",K39,0)</f>
        <v>62827.5</v>
      </c>
      <c r="M39" s="6">
        <f t="shared" si="1"/>
        <v>455.49937499999993</v>
      </c>
      <c r="N39" s="73"/>
      <c r="O39" s="73"/>
      <c r="P39" s="20"/>
      <c r="Q39" s="20"/>
      <c r="R39" s="20"/>
      <c r="S39" s="21"/>
    </row>
    <row r="40" spans="4:19">
      <c r="D40" s="19"/>
      <c r="E40" s="20"/>
      <c r="F40" s="20"/>
      <c r="G40" s="34">
        <v>8.6999999999999994E-2</v>
      </c>
      <c r="H40" s="71" t="s">
        <v>65</v>
      </c>
      <c r="I40" s="68"/>
      <c r="J40" s="4" t="s">
        <v>12</v>
      </c>
      <c r="K40" s="32"/>
      <c r="L40" s="29">
        <f>SUM($K$30:K39)+$L$26+IF(H40="before 5th",K40,0)</f>
        <v>62827.5</v>
      </c>
      <c r="M40" s="6">
        <f t="shared" si="1"/>
        <v>455.49937499999993</v>
      </c>
      <c r="N40" s="73"/>
      <c r="O40" s="73"/>
      <c r="P40" s="20"/>
      <c r="Q40" s="20"/>
      <c r="R40" s="20"/>
      <c r="S40" s="21"/>
    </row>
    <row r="41" spans="4:19">
      <c r="D41" s="19"/>
      <c r="E41" s="20"/>
      <c r="F41" s="20"/>
      <c r="G41" s="34">
        <v>8.6999999999999994E-2</v>
      </c>
      <c r="H41" s="71" t="s">
        <v>65</v>
      </c>
      <c r="I41" s="68"/>
      <c r="J41" s="4" t="s">
        <v>13</v>
      </c>
      <c r="K41" s="32"/>
      <c r="L41" s="29">
        <f>SUM($K$30:K40)+$L$26+IF(H41="before 5th",K41,0)</f>
        <v>62827.5</v>
      </c>
      <c r="M41" s="6">
        <f t="shared" si="1"/>
        <v>455.49937499999993</v>
      </c>
      <c r="N41" s="73"/>
      <c r="O41" s="73"/>
      <c r="P41" s="20"/>
      <c r="Q41" s="20"/>
      <c r="R41" s="20"/>
      <c r="S41" s="21"/>
    </row>
    <row r="42" spans="4:19">
      <c r="D42" s="19"/>
      <c r="E42" s="20"/>
      <c r="F42" s="20"/>
      <c r="G42" s="20"/>
      <c r="H42" s="20"/>
      <c r="I42" s="68"/>
      <c r="J42" s="7" t="s">
        <v>21</v>
      </c>
      <c r="K42" s="9"/>
      <c r="L42" s="9">
        <f>SUM(K30:K41)+SUM(M30:M41)+L26</f>
        <v>68293.492499999993</v>
      </c>
      <c r="M42" s="10"/>
      <c r="N42" s="73"/>
      <c r="O42" s="73"/>
      <c r="P42" s="20"/>
      <c r="Q42" s="20"/>
      <c r="R42" s="20"/>
      <c r="S42" s="21"/>
    </row>
    <row r="43" spans="4:19">
      <c r="D43" s="19"/>
      <c r="E43" s="20"/>
      <c r="F43" s="20"/>
      <c r="G43" s="20"/>
      <c r="H43" s="20"/>
      <c r="I43" s="68"/>
      <c r="J43" s="20"/>
      <c r="K43" s="20"/>
      <c r="L43" s="20"/>
      <c r="M43" s="20"/>
      <c r="N43" s="20"/>
      <c r="O43" s="20"/>
      <c r="P43" s="20"/>
      <c r="Q43" s="20"/>
      <c r="R43" s="20"/>
      <c r="S43" s="21"/>
    </row>
    <row r="44" spans="4:19">
      <c r="D44" s="19" t="str">
        <f>IF($M$9=0,"Loan available for new accounts","")</f>
        <v>Loan available for new accounts</v>
      </c>
      <c r="E44" s="20"/>
      <c r="F44" s="20"/>
      <c r="G44" s="20"/>
      <c r="H44" s="20"/>
      <c r="I44" s="68"/>
      <c r="J44" s="99" t="s">
        <v>18</v>
      </c>
      <c r="K44" s="100"/>
      <c r="L44" s="100"/>
      <c r="M44" s="101"/>
      <c r="N44" s="74"/>
      <c r="O44" s="74"/>
      <c r="P44" s="20"/>
      <c r="Q44" s="20"/>
      <c r="R44" s="20"/>
      <c r="S44" s="21"/>
    </row>
    <row r="45" spans="4:19">
      <c r="D45" s="19" t="str">
        <f>IF($M$9=0,"Loan amount available","")</f>
        <v>Loan amount available</v>
      </c>
      <c r="E45" s="20"/>
      <c r="F45" s="20">
        <f>IF($M$9=0,25%*L26,"")</f>
        <v>15706.875</v>
      </c>
      <c r="G45" s="95" t="s">
        <v>81</v>
      </c>
      <c r="H45" s="70" t="s">
        <v>64</v>
      </c>
      <c r="I45" s="68"/>
      <c r="J45" s="1" t="s">
        <v>1</v>
      </c>
      <c r="K45" s="2" t="s">
        <v>14</v>
      </c>
      <c r="L45" s="2" t="s">
        <v>0</v>
      </c>
      <c r="M45" s="3" t="s">
        <v>15</v>
      </c>
      <c r="N45" s="72"/>
      <c r="O45" s="72"/>
      <c r="P45" s="68"/>
      <c r="Q45" s="68"/>
      <c r="R45" s="20"/>
      <c r="S45" s="21"/>
    </row>
    <row r="46" spans="4:19">
      <c r="D46" s="19"/>
      <c r="E46" s="20"/>
      <c r="F46" s="20"/>
      <c r="G46" s="34">
        <v>8.6999999999999994E-2</v>
      </c>
      <c r="H46" s="71" t="s">
        <v>65</v>
      </c>
      <c r="I46" s="68"/>
      <c r="J46" s="4" t="s">
        <v>2</v>
      </c>
      <c r="K46" s="32"/>
      <c r="L46" s="29">
        <f>$L$42+IF(H46="before 5th",K46,0)</f>
        <v>68293.492499999993</v>
      </c>
      <c r="M46" s="6">
        <f>L46*G46/12</f>
        <v>495.12782062499991</v>
      </c>
      <c r="N46" s="77"/>
      <c r="O46" s="73"/>
      <c r="P46" s="96"/>
      <c r="Q46" s="68"/>
      <c r="R46" s="20"/>
      <c r="S46" s="21"/>
    </row>
    <row r="47" spans="4:19">
      <c r="D47" s="19"/>
      <c r="E47" s="20"/>
      <c r="F47" s="20"/>
      <c r="G47" s="34">
        <v>8.6999999999999994E-2</v>
      </c>
      <c r="H47" s="71" t="s">
        <v>65</v>
      </c>
      <c r="I47" s="68"/>
      <c r="J47" s="4" t="s">
        <v>3</v>
      </c>
      <c r="K47" s="32"/>
      <c r="L47" s="29">
        <f>SUM($K$46:K46)+$L$42+IF(H47="before 5th",K47,0)</f>
        <v>68293.492499999993</v>
      </c>
      <c r="M47" s="6">
        <f t="shared" ref="M47:M57" si="2">L47*G47/12</f>
        <v>495.12782062499991</v>
      </c>
      <c r="N47" s="73"/>
      <c r="O47" s="73"/>
      <c r="P47" s="20" t="s">
        <v>40</v>
      </c>
      <c r="Q47" s="20"/>
      <c r="R47" s="20"/>
      <c r="S47" s="21"/>
    </row>
    <row r="48" spans="4:19">
      <c r="D48" s="19"/>
      <c r="E48" s="20"/>
      <c r="F48" s="20"/>
      <c r="G48" s="34">
        <v>8.6999999999999994E-2</v>
      </c>
      <c r="H48" s="71" t="s">
        <v>65</v>
      </c>
      <c r="I48" s="68"/>
      <c r="J48" s="4" t="s">
        <v>4</v>
      </c>
      <c r="K48" s="32"/>
      <c r="L48" s="29">
        <f>SUM($K$46:K47)+$L$42+IF(H48="before 5th",K48,0)</f>
        <v>68293.492499999993</v>
      </c>
      <c r="M48" s="6">
        <f t="shared" si="2"/>
        <v>495.12782062499991</v>
      </c>
      <c r="N48" s="77"/>
      <c r="O48" s="77"/>
      <c r="P48" s="33">
        <v>150000</v>
      </c>
      <c r="Q48" s="20"/>
      <c r="R48" s="20"/>
      <c r="S48" s="21"/>
    </row>
    <row r="49" spans="4:19">
      <c r="D49" s="19"/>
      <c r="E49" s="20"/>
      <c r="F49" s="20"/>
      <c r="G49" s="34">
        <v>8.6999999999999994E-2</v>
      </c>
      <c r="H49" s="71" t="s">
        <v>65</v>
      </c>
      <c r="I49" s="68"/>
      <c r="J49" s="4" t="s">
        <v>5</v>
      </c>
      <c r="K49" s="32"/>
      <c r="L49" s="29">
        <f>SUM($K$46:K48)+$L$42+IF(H49="before 5th",K49,0)</f>
        <v>68293.492499999993</v>
      </c>
      <c r="M49" s="6">
        <f t="shared" si="2"/>
        <v>495.12782062499991</v>
      </c>
      <c r="N49" s="73"/>
      <c r="O49" s="73"/>
      <c r="P49" s="41" t="str">
        <f>IF(SUM(K46:K57)&gt;P48,"Warning: total investment exceeds allowed limit","")</f>
        <v/>
      </c>
      <c r="Q49" s="49"/>
      <c r="R49" s="49"/>
      <c r="S49" s="50"/>
    </row>
    <row r="50" spans="4:19">
      <c r="D50" s="19"/>
      <c r="E50" s="20"/>
      <c r="F50" s="20"/>
      <c r="G50" s="34">
        <v>8.6999999999999994E-2</v>
      </c>
      <c r="H50" s="71" t="s">
        <v>65</v>
      </c>
      <c r="I50" s="68"/>
      <c r="J50" s="4" t="s">
        <v>6</v>
      </c>
      <c r="K50" s="32"/>
      <c r="L50" s="29">
        <f>SUM($K$46:K49)+$L$42+IF(H50="before 5th",K50,0)</f>
        <v>68293.492499999993</v>
      </c>
      <c r="M50" s="6">
        <f t="shared" si="2"/>
        <v>495.12782062499991</v>
      </c>
      <c r="N50" s="73"/>
      <c r="O50" s="73"/>
      <c r="P50" s="20"/>
      <c r="Q50" s="20"/>
      <c r="R50" s="20"/>
      <c r="S50" s="21"/>
    </row>
    <row r="51" spans="4:19">
      <c r="D51" s="19"/>
      <c r="E51" s="20"/>
      <c r="F51" s="20"/>
      <c r="G51" s="34">
        <v>8.6999999999999994E-2</v>
      </c>
      <c r="H51" s="71" t="s">
        <v>65</v>
      </c>
      <c r="I51" s="68"/>
      <c r="J51" s="4" t="s">
        <v>7</v>
      </c>
      <c r="K51" s="32"/>
      <c r="L51" s="29">
        <f>SUM($K$46:K50)+$L$42+IF(H51="before 5th",K51,0)</f>
        <v>68293.492499999993</v>
      </c>
      <c r="M51" s="6">
        <f t="shared" si="2"/>
        <v>495.12782062499991</v>
      </c>
      <c r="N51" s="73"/>
      <c r="O51" s="73"/>
      <c r="P51" s="20"/>
      <c r="Q51" s="20"/>
      <c r="R51" s="20"/>
      <c r="S51" s="21"/>
    </row>
    <row r="52" spans="4:19">
      <c r="D52" s="19"/>
      <c r="E52" s="20"/>
      <c r="F52" s="20"/>
      <c r="G52" s="34">
        <v>8.6999999999999994E-2</v>
      </c>
      <c r="H52" s="71" t="s">
        <v>65</v>
      </c>
      <c r="I52" s="68"/>
      <c r="J52" s="4" t="s">
        <v>8</v>
      </c>
      <c r="K52" s="32"/>
      <c r="L52" s="29">
        <f>SUM($K$46:K51)+$L$42+IF(H52="before 5th",K52,0)</f>
        <v>68293.492499999993</v>
      </c>
      <c r="M52" s="6">
        <f t="shared" si="2"/>
        <v>495.12782062499991</v>
      </c>
      <c r="N52" s="73"/>
      <c r="O52" s="73"/>
      <c r="P52" s="20"/>
      <c r="Q52" s="20"/>
      <c r="R52" s="20"/>
      <c r="S52" s="21"/>
    </row>
    <row r="53" spans="4:19">
      <c r="D53" s="19"/>
      <c r="E53" s="20"/>
      <c r="F53" s="20"/>
      <c r="G53" s="34">
        <v>8.6999999999999994E-2</v>
      </c>
      <c r="H53" s="71" t="s">
        <v>65</v>
      </c>
      <c r="I53" s="68"/>
      <c r="J53" s="4" t="s">
        <v>9</v>
      </c>
      <c r="K53" s="32"/>
      <c r="L53" s="29">
        <f>SUM($K$46:K52)+$L$42+IF(H53="before 5th",K53,0)</f>
        <v>68293.492499999993</v>
      </c>
      <c r="M53" s="6">
        <f t="shared" si="2"/>
        <v>495.12782062499991</v>
      </c>
      <c r="N53" s="73"/>
      <c r="O53" s="73"/>
      <c r="P53" s="20"/>
      <c r="Q53" s="20"/>
      <c r="R53" s="20"/>
      <c r="S53" s="21"/>
    </row>
    <row r="54" spans="4:19">
      <c r="D54" s="19"/>
      <c r="E54" s="20"/>
      <c r="F54" s="20"/>
      <c r="G54" s="34">
        <v>8.6999999999999994E-2</v>
      </c>
      <c r="H54" s="71" t="s">
        <v>65</v>
      </c>
      <c r="I54" s="68"/>
      <c r="J54" s="4" t="s">
        <v>10</v>
      </c>
      <c r="K54" s="32"/>
      <c r="L54" s="29">
        <f>SUM($K$46:K53)+$L$42+IF(H54="before 5th",K54,0)</f>
        <v>68293.492499999993</v>
      </c>
      <c r="M54" s="6">
        <f t="shared" si="2"/>
        <v>495.12782062499991</v>
      </c>
      <c r="N54" s="73"/>
      <c r="O54" s="73"/>
      <c r="P54" s="20"/>
      <c r="Q54" s="20"/>
      <c r="R54" s="20"/>
      <c r="S54" s="21"/>
    </row>
    <row r="55" spans="4:19">
      <c r="D55" s="19"/>
      <c r="E55" s="20"/>
      <c r="F55" s="20"/>
      <c r="G55" s="34">
        <v>8.6999999999999994E-2</v>
      </c>
      <c r="H55" s="71" t="s">
        <v>65</v>
      </c>
      <c r="I55" s="68"/>
      <c r="J55" s="4" t="s">
        <v>11</v>
      </c>
      <c r="K55" s="32"/>
      <c r="L55" s="29">
        <f>SUM($K$46:K54)+$L$42+IF(H55="before 5th",K55,0)</f>
        <v>68293.492499999993</v>
      </c>
      <c r="M55" s="6">
        <f t="shared" si="2"/>
        <v>495.12782062499991</v>
      </c>
      <c r="N55" s="73"/>
      <c r="O55" s="73"/>
      <c r="P55" s="20"/>
      <c r="Q55" s="20"/>
      <c r="R55" s="20"/>
      <c r="S55" s="21"/>
    </row>
    <row r="56" spans="4:19">
      <c r="D56" s="19"/>
      <c r="E56" s="20"/>
      <c r="F56" s="20"/>
      <c r="G56" s="34">
        <v>8.6999999999999994E-2</v>
      </c>
      <c r="H56" s="71" t="s">
        <v>65</v>
      </c>
      <c r="I56" s="68"/>
      <c r="J56" s="4" t="s">
        <v>12</v>
      </c>
      <c r="K56" s="32"/>
      <c r="L56" s="29">
        <f>SUM($K$46:K55)+$L$42+IF(H56="before 5th",K56,0)</f>
        <v>68293.492499999993</v>
      </c>
      <c r="M56" s="6">
        <f t="shared" si="2"/>
        <v>495.12782062499991</v>
      </c>
      <c r="N56" s="73"/>
      <c r="O56" s="73"/>
      <c r="P56" s="20"/>
      <c r="Q56" s="20"/>
      <c r="R56" s="20"/>
      <c r="S56" s="21"/>
    </row>
    <row r="57" spans="4:19">
      <c r="D57" s="19"/>
      <c r="E57" s="20"/>
      <c r="F57" s="20"/>
      <c r="G57" s="34">
        <v>8.6999999999999994E-2</v>
      </c>
      <c r="H57" s="71" t="s">
        <v>65</v>
      </c>
      <c r="I57" s="68"/>
      <c r="J57" s="4" t="s">
        <v>13</v>
      </c>
      <c r="K57" s="32"/>
      <c r="L57" s="29">
        <f>SUM($K$46:K56)+$L$42+IF(H57="before 5th",K57,0)</f>
        <v>68293.492499999993</v>
      </c>
      <c r="M57" s="6">
        <f t="shared" si="2"/>
        <v>495.12782062499991</v>
      </c>
      <c r="N57" s="73"/>
      <c r="O57" s="73"/>
      <c r="P57" s="20"/>
      <c r="Q57" s="20"/>
      <c r="R57" s="20"/>
      <c r="S57" s="21"/>
    </row>
    <row r="58" spans="4:19">
      <c r="D58" s="19"/>
      <c r="E58" s="20"/>
      <c r="F58" s="20"/>
      <c r="G58" s="20"/>
      <c r="H58" s="20"/>
      <c r="I58" s="68"/>
      <c r="J58" s="7" t="s">
        <v>21</v>
      </c>
      <c r="K58" s="9"/>
      <c r="L58" s="9">
        <f>SUM(K46:K57)+SUM(M46:M57)+L42</f>
        <v>74235.026347499996</v>
      </c>
      <c r="M58" s="10"/>
      <c r="N58" s="73"/>
      <c r="O58" s="73"/>
      <c r="P58" s="20"/>
      <c r="Q58" s="20"/>
      <c r="R58" s="20"/>
      <c r="S58" s="21"/>
    </row>
    <row r="59" spans="4:19">
      <c r="D59" s="19"/>
      <c r="E59" s="20"/>
      <c r="F59" s="20"/>
      <c r="G59" s="20"/>
      <c r="H59" s="20"/>
      <c r="I59" s="68"/>
      <c r="J59" s="20"/>
      <c r="K59" s="20"/>
      <c r="L59" s="20"/>
      <c r="M59" s="20"/>
      <c r="N59" s="20"/>
      <c r="O59" s="20"/>
      <c r="P59" s="20"/>
      <c r="Q59" s="20"/>
      <c r="R59" s="20"/>
      <c r="S59" s="21"/>
    </row>
    <row r="60" spans="4:19">
      <c r="D60" s="19" t="str">
        <f>IF($M$9=0,"Loan available for new accounts","")</f>
        <v>Loan available for new accounts</v>
      </c>
      <c r="E60" s="20"/>
      <c r="F60" s="20"/>
      <c r="G60" s="20"/>
      <c r="H60" s="20"/>
      <c r="I60" s="68"/>
      <c r="J60" s="99" t="s">
        <v>19</v>
      </c>
      <c r="K60" s="100"/>
      <c r="L60" s="100"/>
      <c r="M60" s="101"/>
      <c r="N60" s="74"/>
      <c r="O60" s="74"/>
      <c r="P60" s="20"/>
      <c r="Q60" s="20"/>
      <c r="R60" s="20"/>
      <c r="S60" s="21"/>
    </row>
    <row r="61" spans="4:19">
      <c r="D61" s="19" t="str">
        <f>IF($M$9=0,"Loan amount available","")</f>
        <v>Loan amount available</v>
      </c>
      <c r="E61" s="20"/>
      <c r="F61" s="20">
        <f>IF($M$9=0,25%*L42,"")</f>
        <v>17073.373124999998</v>
      </c>
      <c r="G61" s="95" t="s">
        <v>81</v>
      </c>
      <c r="H61" s="70" t="s">
        <v>64</v>
      </c>
      <c r="I61" s="68"/>
      <c r="J61" s="1" t="s">
        <v>1</v>
      </c>
      <c r="K61" s="2" t="s">
        <v>14</v>
      </c>
      <c r="L61" s="2" t="s">
        <v>0</v>
      </c>
      <c r="M61" s="3" t="s">
        <v>15</v>
      </c>
      <c r="N61" s="72"/>
      <c r="O61" s="72"/>
      <c r="P61" s="68"/>
      <c r="Q61" s="68"/>
      <c r="R61" s="20"/>
      <c r="S61" s="21"/>
    </row>
    <row r="62" spans="4:19">
      <c r="D62" s="19"/>
      <c r="E62" s="20"/>
      <c r="F62" s="20"/>
      <c r="G62" s="34">
        <v>8.6999999999999994E-2</v>
      </c>
      <c r="H62" s="71" t="s">
        <v>65</v>
      </c>
      <c r="I62" s="68"/>
      <c r="J62" s="4" t="s">
        <v>2</v>
      </c>
      <c r="K62" s="32"/>
      <c r="L62" s="29">
        <f>$L$58+IF(H62="before 5th",K62,0)</f>
        <v>74235.026347499996</v>
      </c>
      <c r="M62" s="6">
        <f>L62*G62/12</f>
        <v>538.20394101937495</v>
      </c>
      <c r="N62" s="77"/>
      <c r="O62" s="73"/>
      <c r="P62" s="96"/>
      <c r="Q62" s="68"/>
      <c r="R62" s="20"/>
      <c r="S62" s="21"/>
    </row>
    <row r="63" spans="4:19">
      <c r="D63" s="19"/>
      <c r="E63" s="20"/>
      <c r="F63" s="20"/>
      <c r="G63" s="34">
        <v>8.6999999999999994E-2</v>
      </c>
      <c r="H63" s="71" t="s">
        <v>65</v>
      </c>
      <c r="I63" s="68"/>
      <c r="J63" s="4" t="s">
        <v>3</v>
      </c>
      <c r="K63" s="32"/>
      <c r="L63" s="29">
        <f>SUM($K$62:K62)+$L$58+IF(H63="before 5th",K63,0)</f>
        <v>74235.026347499996</v>
      </c>
      <c r="M63" s="6">
        <f t="shared" ref="M63:M73" si="3">L63*G63/12</f>
        <v>538.20394101937495</v>
      </c>
      <c r="N63" s="73"/>
      <c r="O63" s="73"/>
      <c r="P63" s="20" t="s">
        <v>40</v>
      </c>
      <c r="Q63" s="20"/>
      <c r="R63" s="20"/>
      <c r="S63" s="21"/>
    </row>
    <row r="64" spans="4:19">
      <c r="D64" s="19"/>
      <c r="E64" s="20"/>
      <c r="F64" s="20"/>
      <c r="G64" s="34">
        <v>8.6999999999999994E-2</v>
      </c>
      <c r="H64" s="71" t="s">
        <v>65</v>
      </c>
      <c r="I64" s="68"/>
      <c r="J64" s="4" t="s">
        <v>4</v>
      </c>
      <c r="K64" s="32"/>
      <c r="L64" s="29">
        <f>SUM($K$62:K63)+$L$58+IF(H64="before 5th",K64,0)</f>
        <v>74235.026347499996</v>
      </c>
      <c r="M64" s="6">
        <f t="shared" si="3"/>
        <v>538.20394101937495</v>
      </c>
      <c r="N64" s="77"/>
      <c r="O64" s="77"/>
      <c r="P64" s="33">
        <v>150000</v>
      </c>
      <c r="Q64" s="20"/>
      <c r="R64" s="20"/>
      <c r="S64" s="21"/>
    </row>
    <row r="65" spans="4:19">
      <c r="D65" s="19"/>
      <c r="E65" s="20"/>
      <c r="F65" s="20"/>
      <c r="G65" s="34">
        <v>8.6999999999999994E-2</v>
      </c>
      <c r="H65" s="71" t="s">
        <v>65</v>
      </c>
      <c r="I65" s="68"/>
      <c r="J65" s="4" t="s">
        <v>5</v>
      </c>
      <c r="K65" s="32"/>
      <c r="L65" s="29">
        <f>SUM($K$62:K64)+$L$58+IF(H65="before 5th",K65,0)</f>
        <v>74235.026347499996</v>
      </c>
      <c r="M65" s="6">
        <f t="shared" si="3"/>
        <v>538.20394101937495</v>
      </c>
      <c r="N65" s="73"/>
      <c r="O65" s="73"/>
      <c r="P65" s="41" t="str">
        <f>IF(SUM(K62:K73)&gt;P64,"Warning: total investment exceeds allowed limit","")</f>
        <v/>
      </c>
      <c r="Q65" s="49"/>
      <c r="R65" s="49"/>
      <c r="S65" s="50"/>
    </row>
    <row r="66" spans="4:19">
      <c r="D66" s="19"/>
      <c r="E66" s="20"/>
      <c r="F66" s="20"/>
      <c r="G66" s="34">
        <v>8.6999999999999994E-2</v>
      </c>
      <c r="H66" s="71" t="s">
        <v>65</v>
      </c>
      <c r="I66" s="68"/>
      <c r="J66" s="4" t="s">
        <v>6</v>
      </c>
      <c r="K66" s="32"/>
      <c r="L66" s="29">
        <f>SUM($K$62:K65)+$L$58+IF(H66="before 5th",K66,0)</f>
        <v>74235.026347499996</v>
      </c>
      <c r="M66" s="6">
        <f t="shared" si="3"/>
        <v>538.20394101937495</v>
      </c>
      <c r="N66" s="73"/>
      <c r="O66" s="73"/>
      <c r="P66" s="20"/>
      <c r="Q66" s="20"/>
      <c r="R66" s="20"/>
      <c r="S66" s="21"/>
    </row>
    <row r="67" spans="4:19">
      <c r="D67" s="19"/>
      <c r="E67" s="20"/>
      <c r="F67" s="20"/>
      <c r="G67" s="34">
        <v>8.6999999999999994E-2</v>
      </c>
      <c r="H67" s="71" t="s">
        <v>65</v>
      </c>
      <c r="I67" s="68"/>
      <c r="J67" s="4" t="s">
        <v>7</v>
      </c>
      <c r="K67" s="32"/>
      <c r="L67" s="29">
        <f>SUM($K$62:K66)+$L$58+IF(H67="before 5th",K67,0)</f>
        <v>74235.026347499996</v>
      </c>
      <c r="M67" s="6">
        <f t="shared" si="3"/>
        <v>538.20394101937495</v>
      </c>
      <c r="N67" s="73"/>
      <c r="O67" s="73"/>
      <c r="P67" s="20"/>
      <c r="Q67" s="20"/>
      <c r="R67" s="20"/>
      <c r="S67" s="21"/>
    </row>
    <row r="68" spans="4:19">
      <c r="D68" s="19"/>
      <c r="E68" s="20"/>
      <c r="F68" s="20"/>
      <c r="G68" s="34">
        <v>8.6999999999999994E-2</v>
      </c>
      <c r="H68" s="71" t="s">
        <v>65</v>
      </c>
      <c r="I68" s="68"/>
      <c r="J68" s="4" t="s">
        <v>8</v>
      </c>
      <c r="K68" s="32"/>
      <c r="L68" s="29">
        <f>SUM($K$62:K67)+$L$58+IF(H68="before 5th",K68,0)</f>
        <v>74235.026347499996</v>
      </c>
      <c r="M68" s="6">
        <f t="shared" si="3"/>
        <v>538.20394101937495</v>
      </c>
      <c r="N68" s="73"/>
      <c r="O68" s="73"/>
      <c r="P68" s="20"/>
      <c r="Q68" s="20"/>
      <c r="R68" s="20"/>
      <c r="S68" s="21"/>
    </row>
    <row r="69" spans="4:19">
      <c r="D69" s="19"/>
      <c r="E69" s="20"/>
      <c r="F69" s="20"/>
      <c r="G69" s="34">
        <v>8.6999999999999994E-2</v>
      </c>
      <c r="H69" s="71" t="s">
        <v>65</v>
      </c>
      <c r="I69" s="68"/>
      <c r="J69" s="4" t="s">
        <v>9</v>
      </c>
      <c r="K69" s="32"/>
      <c r="L69" s="29">
        <f>SUM($K$62:K68)+$L$58+IF(H69="before 5th",K69,0)</f>
        <v>74235.026347499996</v>
      </c>
      <c r="M69" s="6">
        <f t="shared" si="3"/>
        <v>538.20394101937495</v>
      </c>
      <c r="N69" s="73"/>
      <c r="O69" s="73"/>
      <c r="P69" s="20"/>
      <c r="Q69" s="20"/>
      <c r="R69" s="20"/>
      <c r="S69" s="21"/>
    </row>
    <row r="70" spans="4:19">
      <c r="D70" s="19"/>
      <c r="E70" s="20"/>
      <c r="F70" s="20"/>
      <c r="G70" s="34">
        <v>8.6999999999999994E-2</v>
      </c>
      <c r="H70" s="71" t="s">
        <v>65</v>
      </c>
      <c r="I70" s="68"/>
      <c r="J70" s="4" t="s">
        <v>10</v>
      </c>
      <c r="K70" s="32"/>
      <c r="L70" s="29">
        <f>SUM($K$62:K69)+$L$58+IF(H70="before 5th",K70,0)</f>
        <v>74235.026347499996</v>
      </c>
      <c r="M70" s="6">
        <f t="shared" si="3"/>
        <v>538.20394101937495</v>
      </c>
      <c r="N70" s="73"/>
      <c r="O70" s="73"/>
      <c r="P70" s="20"/>
      <c r="Q70" s="20"/>
      <c r="R70" s="20"/>
      <c r="S70" s="21"/>
    </row>
    <row r="71" spans="4:19">
      <c r="D71" s="19"/>
      <c r="E71" s="20"/>
      <c r="F71" s="20"/>
      <c r="G71" s="34">
        <v>8.6999999999999994E-2</v>
      </c>
      <c r="H71" s="71" t="s">
        <v>65</v>
      </c>
      <c r="I71" s="68"/>
      <c r="J71" s="4" t="s">
        <v>11</v>
      </c>
      <c r="K71" s="32"/>
      <c r="L71" s="29">
        <f>SUM($K$62:K70)+$L$58+IF(H71="before 5th",K71,0)</f>
        <v>74235.026347499996</v>
      </c>
      <c r="M71" s="6">
        <f t="shared" si="3"/>
        <v>538.20394101937495</v>
      </c>
      <c r="N71" s="73"/>
      <c r="O71" s="73"/>
      <c r="P71" s="20"/>
      <c r="Q71" s="20"/>
      <c r="R71" s="20"/>
      <c r="S71" s="21"/>
    </row>
    <row r="72" spans="4:19">
      <c r="D72" s="19"/>
      <c r="E72" s="20"/>
      <c r="F72" s="20"/>
      <c r="G72" s="34">
        <v>8.6999999999999994E-2</v>
      </c>
      <c r="H72" s="71" t="s">
        <v>65</v>
      </c>
      <c r="I72" s="68"/>
      <c r="J72" s="4" t="s">
        <v>12</v>
      </c>
      <c r="K72" s="32"/>
      <c r="L72" s="29">
        <f>SUM($K$62:K71)+$L$58+IF(H72="before 5th",K72,0)</f>
        <v>74235.026347499996</v>
      </c>
      <c r="M72" s="6">
        <f t="shared" si="3"/>
        <v>538.20394101937495</v>
      </c>
      <c r="N72" s="73"/>
      <c r="O72" s="73"/>
      <c r="P72" s="20"/>
      <c r="Q72" s="20"/>
      <c r="R72" s="20"/>
      <c r="S72" s="21"/>
    </row>
    <row r="73" spans="4:19">
      <c r="D73" s="19"/>
      <c r="E73" s="20"/>
      <c r="F73" s="20"/>
      <c r="G73" s="34">
        <v>8.6999999999999994E-2</v>
      </c>
      <c r="H73" s="71" t="s">
        <v>65</v>
      </c>
      <c r="I73" s="68"/>
      <c r="J73" s="4" t="s">
        <v>13</v>
      </c>
      <c r="K73" s="32"/>
      <c r="L73" s="29">
        <f>SUM($K$62:K72)+$L$58+IF(H73="before 5th",K73,0)</f>
        <v>74235.026347499996</v>
      </c>
      <c r="M73" s="6">
        <f t="shared" si="3"/>
        <v>538.20394101937495</v>
      </c>
      <c r="N73" s="73"/>
      <c r="O73" s="73"/>
      <c r="P73" s="20"/>
      <c r="Q73" s="20"/>
      <c r="R73" s="20"/>
      <c r="S73" s="21"/>
    </row>
    <row r="74" spans="4:19">
      <c r="D74" s="19"/>
      <c r="E74" s="20"/>
      <c r="F74" s="20"/>
      <c r="G74" s="20"/>
      <c r="H74" s="20"/>
      <c r="I74" s="68"/>
      <c r="J74" s="7" t="s">
        <v>21</v>
      </c>
      <c r="K74" s="9"/>
      <c r="L74" s="9">
        <f>SUM(K62:K73)+SUM(M62:M73)+L58</f>
        <v>80693.473639732489</v>
      </c>
      <c r="M74" s="10"/>
      <c r="N74" s="73"/>
      <c r="O74" s="73"/>
      <c r="P74" s="20"/>
      <c r="Q74" s="20"/>
      <c r="R74" s="20"/>
      <c r="S74" s="21"/>
    </row>
    <row r="75" spans="4:19">
      <c r="D75" s="19"/>
      <c r="E75" s="20"/>
      <c r="F75" s="20"/>
      <c r="G75" s="20"/>
      <c r="H75" s="20"/>
      <c r="I75" s="68"/>
      <c r="J75" s="20"/>
      <c r="K75" s="20"/>
      <c r="L75" s="20"/>
      <c r="M75" s="20"/>
      <c r="N75" s="20"/>
      <c r="O75" s="20"/>
      <c r="P75" s="20"/>
      <c r="Q75" s="20"/>
      <c r="R75" s="20"/>
      <c r="S75" s="21"/>
    </row>
    <row r="76" spans="4:19">
      <c r="D76" s="19" t="str">
        <f>IF($M$9=0,"Loan available for new accounts","")</f>
        <v>Loan available for new accounts</v>
      </c>
      <c r="E76" s="20"/>
      <c r="F76" s="20"/>
      <c r="G76" s="20"/>
      <c r="H76" s="20"/>
      <c r="I76" s="68"/>
      <c r="J76" s="99" t="s">
        <v>20</v>
      </c>
      <c r="K76" s="100"/>
      <c r="L76" s="100"/>
      <c r="M76" s="101"/>
      <c r="N76" s="74"/>
      <c r="O76" s="74"/>
      <c r="P76" s="20"/>
      <c r="Q76" s="20"/>
      <c r="R76" s="20"/>
      <c r="S76" s="21"/>
    </row>
    <row r="77" spans="4:19">
      <c r="D77" s="19" t="str">
        <f>IF($M$9=0,"Loan amount available","")</f>
        <v>Loan amount available</v>
      </c>
      <c r="E77" s="20"/>
      <c r="F77" s="20">
        <f>IF($M$9=0,25%*L58,"")</f>
        <v>18558.756586874999</v>
      </c>
      <c r="G77" s="95" t="s">
        <v>81</v>
      </c>
      <c r="H77" s="70" t="s">
        <v>64</v>
      </c>
      <c r="I77" s="68"/>
      <c r="J77" s="1" t="s">
        <v>1</v>
      </c>
      <c r="K77" s="2" t="s">
        <v>14</v>
      </c>
      <c r="L77" s="2" t="s">
        <v>0</v>
      </c>
      <c r="M77" s="3" t="s">
        <v>15</v>
      </c>
      <c r="N77" s="72"/>
      <c r="O77" s="72"/>
      <c r="P77" s="68"/>
      <c r="Q77" s="68"/>
      <c r="R77" s="20"/>
      <c r="S77" s="21"/>
    </row>
    <row r="78" spans="4:19">
      <c r="D78" s="19"/>
      <c r="E78" s="20"/>
      <c r="F78" s="20"/>
      <c r="G78" s="34">
        <v>8.6999999999999994E-2</v>
      </c>
      <c r="H78" s="71" t="s">
        <v>65</v>
      </c>
      <c r="I78" s="68"/>
      <c r="J78" s="4" t="s">
        <v>2</v>
      </c>
      <c r="K78" s="32"/>
      <c r="L78" s="29">
        <f>$L$74+IF(H78="before 5th",K78,0)</f>
        <v>80693.473639732489</v>
      </c>
      <c r="M78" s="6">
        <f>L78*G78/12</f>
        <v>585.02768388806055</v>
      </c>
      <c r="N78" s="77"/>
      <c r="O78" s="73"/>
      <c r="P78" s="96"/>
      <c r="Q78" s="68"/>
      <c r="R78" s="20"/>
      <c r="S78" s="21"/>
    </row>
    <row r="79" spans="4:19">
      <c r="D79" s="19"/>
      <c r="E79" s="20"/>
      <c r="F79" s="20"/>
      <c r="G79" s="34">
        <v>8.6999999999999994E-2</v>
      </c>
      <c r="H79" s="71" t="s">
        <v>65</v>
      </c>
      <c r="I79" s="68"/>
      <c r="J79" s="4" t="s">
        <v>3</v>
      </c>
      <c r="K79" s="32"/>
      <c r="L79" s="29">
        <f>SUM($K$78:K78)+$L$74+IF(H79="before 5th",K79,0)</f>
        <v>80693.473639732489</v>
      </c>
      <c r="M79" s="6">
        <f t="shared" ref="M79:M89" si="4">L79*G79/12</f>
        <v>585.02768388806055</v>
      </c>
      <c r="N79" s="73"/>
      <c r="O79" s="73"/>
      <c r="P79" s="20" t="s">
        <v>40</v>
      </c>
      <c r="Q79" s="20"/>
      <c r="R79" s="20"/>
      <c r="S79" s="21"/>
    </row>
    <row r="80" spans="4:19">
      <c r="D80" s="19"/>
      <c r="E80" s="20"/>
      <c r="F80" s="20"/>
      <c r="G80" s="34">
        <v>8.6999999999999994E-2</v>
      </c>
      <c r="H80" s="71" t="s">
        <v>65</v>
      </c>
      <c r="I80" s="68"/>
      <c r="J80" s="4" t="s">
        <v>4</v>
      </c>
      <c r="K80" s="32"/>
      <c r="L80" s="29">
        <f>SUM($K$78:K79)+$L$74+IF(H80="before 5th",K80,0)</f>
        <v>80693.473639732489</v>
      </c>
      <c r="M80" s="6">
        <f t="shared" si="4"/>
        <v>585.02768388806055</v>
      </c>
      <c r="N80" s="77"/>
      <c r="O80" s="77"/>
      <c r="P80" s="33">
        <v>150000</v>
      </c>
      <c r="Q80" s="20"/>
      <c r="R80" s="20"/>
      <c r="S80" s="21"/>
    </row>
    <row r="81" spans="4:19">
      <c r="D81" s="19"/>
      <c r="E81" s="20"/>
      <c r="F81" s="20"/>
      <c r="G81" s="34">
        <v>8.6999999999999994E-2</v>
      </c>
      <c r="H81" s="71" t="s">
        <v>65</v>
      </c>
      <c r="I81" s="68"/>
      <c r="J81" s="4" t="s">
        <v>5</v>
      </c>
      <c r="K81" s="32"/>
      <c r="L81" s="29">
        <f>SUM($K$78:K80)+$L$74+IF(H81="before 5th",K81,0)</f>
        <v>80693.473639732489</v>
      </c>
      <c r="M81" s="6">
        <f t="shared" si="4"/>
        <v>585.02768388806055</v>
      </c>
      <c r="N81" s="73"/>
      <c r="O81" s="73"/>
      <c r="P81" s="41" t="str">
        <f>IF(SUM(K78:K89)&gt;P80,"Warning: total investment exceeds allowed limit","")</f>
        <v/>
      </c>
      <c r="Q81" s="49"/>
      <c r="R81" s="49"/>
      <c r="S81" s="50"/>
    </row>
    <row r="82" spans="4:19">
      <c r="D82" s="19"/>
      <c r="E82" s="20"/>
      <c r="F82" s="20"/>
      <c r="G82" s="34">
        <v>8.6999999999999994E-2</v>
      </c>
      <c r="H82" s="71" t="s">
        <v>65</v>
      </c>
      <c r="I82" s="68"/>
      <c r="J82" s="4" t="s">
        <v>6</v>
      </c>
      <c r="K82" s="32"/>
      <c r="L82" s="29">
        <f>SUM($K$78:K81)+$L$74+IF(H82="before 5th",K82,0)</f>
        <v>80693.473639732489</v>
      </c>
      <c r="M82" s="6">
        <f t="shared" si="4"/>
        <v>585.02768388806055</v>
      </c>
      <c r="N82" s="73"/>
      <c r="O82" s="73"/>
      <c r="P82" s="20"/>
      <c r="Q82" s="20"/>
      <c r="R82" s="20"/>
      <c r="S82" s="21"/>
    </row>
    <row r="83" spans="4:19">
      <c r="D83" s="19"/>
      <c r="E83" s="20"/>
      <c r="F83" s="20"/>
      <c r="G83" s="34">
        <v>8.6999999999999994E-2</v>
      </c>
      <c r="H83" s="71" t="s">
        <v>65</v>
      </c>
      <c r="I83" s="68"/>
      <c r="J83" s="4" t="s">
        <v>7</v>
      </c>
      <c r="K83" s="32"/>
      <c r="L83" s="29">
        <f>SUM($K$78:K82)+$L$74+IF(H83="before 5th",K83,0)</f>
        <v>80693.473639732489</v>
      </c>
      <c r="M83" s="6">
        <f t="shared" si="4"/>
        <v>585.02768388806055</v>
      </c>
      <c r="N83" s="73"/>
      <c r="O83" s="73"/>
      <c r="P83" s="20"/>
      <c r="Q83" s="20"/>
      <c r="R83" s="20"/>
      <c r="S83" s="21"/>
    </row>
    <row r="84" spans="4:19">
      <c r="D84" s="19"/>
      <c r="E84" s="20"/>
      <c r="F84" s="20"/>
      <c r="G84" s="34">
        <v>8.6999999999999994E-2</v>
      </c>
      <c r="H84" s="71" t="s">
        <v>65</v>
      </c>
      <c r="I84" s="68"/>
      <c r="J84" s="4" t="s">
        <v>8</v>
      </c>
      <c r="K84" s="32"/>
      <c r="L84" s="29">
        <f>SUM($K$78:K83)+$L$74+IF(H84="before 5th",K84,0)</f>
        <v>80693.473639732489</v>
      </c>
      <c r="M84" s="6">
        <f t="shared" si="4"/>
        <v>585.02768388806055</v>
      </c>
      <c r="N84" s="73"/>
      <c r="O84" s="73"/>
      <c r="P84" s="20"/>
      <c r="Q84" s="20"/>
      <c r="R84" s="20"/>
      <c r="S84" s="21"/>
    </row>
    <row r="85" spans="4:19">
      <c r="D85" s="19"/>
      <c r="E85" s="20"/>
      <c r="F85" s="20"/>
      <c r="G85" s="34">
        <v>8.6999999999999994E-2</v>
      </c>
      <c r="H85" s="71" t="s">
        <v>65</v>
      </c>
      <c r="I85" s="68"/>
      <c r="J85" s="4" t="s">
        <v>9</v>
      </c>
      <c r="K85" s="32"/>
      <c r="L85" s="29">
        <f>SUM($K$78:K84)+$L$74+IF(H85="before 5th",K85,0)</f>
        <v>80693.473639732489</v>
      </c>
      <c r="M85" s="6">
        <f t="shared" si="4"/>
        <v>585.02768388806055</v>
      </c>
      <c r="N85" s="73"/>
      <c r="O85" s="73"/>
      <c r="P85" s="20"/>
      <c r="Q85" s="20"/>
      <c r="R85" s="20"/>
      <c r="S85" s="21"/>
    </row>
    <row r="86" spans="4:19">
      <c r="D86" s="19"/>
      <c r="E86" s="20"/>
      <c r="F86" s="20"/>
      <c r="G86" s="34">
        <v>8.6999999999999994E-2</v>
      </c>
      <c r="H86" s="71" t="s">
        <v>65</v>
      </c>
      <c r="I86" s="68"/>
      <c r="J86" s="4" t="s">
        <v>10</v>
      </c>
      <c r="K86" s="32"/>
      <c r="L86" s="29">
        <f>SUM($K$78:K85)+$L$74+IF(H86="before 5th",K86,0)</f>
        <v>80693.473639732489</v>
      </c>
      <c r="M86" s="6">
        <f t="shared" si="4"/>
        <v>585.02768388806055</v>
      </c>
      <c r="N86" s="73"/>
      <c r="O86" s="73"/>
      <c r="P86" s="20"/>
      <c r="Q86" s="20"/>
      <c r="R86" s="20"/>
      <c r="S86" s="21"/>
    </row>
    <row r="87" spans="4:19">
      <c r="D87" s="19"/>
      <c r="E87" s="20"/>
      <c r="F87" s="20"/>
      <c r="G87" s="34">
        <v>8.6999999999999994E-2</v>
      </c>
      <c r="H87" s="71" t="s">
        <v>65</v>
      </c>
      <c r="I87" s="68"/>
      <c r="J87" s="4" t="s">
        <v>11</v>
      </c>
      <c r="K87" s="32"/>
      <c r="L87" s="29">
        <f>SUM($K$78:K86)+$L$74+IF(H87="before 5th",K87,0)</f>
        <v>80693.473639732489</v>
      </c>
      <c r="M87" s="6">
        <f t="shared" si="4"/>
        <v>585.02768388806055</v>
      </c>
      <c r="N87" s="73"/>
      <c r="O87" s="73"/>
      <c r="P87" s="20"/>
      <c r="Q87" s="20"/>
      <c r="R87" s="20"/>
      <c r="S87" s="21"/>
    </row>
    <row r="88" spans="4:19">
      <c r="D88" s="19"/>
      <c r="E88" s="20"/>
      <c r="F88" s="20"/>
      <c r="G88" s="34">
        <v>8.6999999999999994E-2</v>
      </c>
      <c r="H88" s="71" t="s">
        <v>65</v>
      </c>
      <c r="I88" s="68"/>
      <c r="J88" s="4" t="s">
        <v>12</v>
      </c>
      <c r="K88" s="32"/>
      <c r="L88" s="29">
        <f>SUM($K$78:K87)+$L$74+IF(H88="before 5th",K88,0)</f>
        <v>80693.473639732489</v>
      </c>
      <c r="M88" s="6">
        <f t="shared" si="4"/>
        <v>585.02768388806055</v>
      </c>
      <c r="N88" s="73"/>
      <c r="O88" s="73"/>
      <c r="P88" s="20"/>
      <c r="Q88" s="20"/>
      <c r="R88" s="20"/>
      <c r="S88" s="21"/>
    </row>
    <row r="89" spans="4:19">
      <c r="D89" s="19"/>
      <c r="E89" s="20"/>
      <c r="F89" s="20"/>
      <c r="G89" s="34">
        <v>8.6999999999999994E-2</v>
      </c>
      <c r="H89" s="71" t="s">
        <v>65</v>
      </c>
      <c r="I89" s="68"/>
      <c r="J89" s="4" t="s">
        <v>13</v>
      </c>
      <c r="K89" s="32"/>
      <c r="L89" s="29">
        <f>SUM($K$78:K88)+$L$74+IF(H89="before 5th",K89,0)</f>
        <v>80693.473639732489</v>
      </c>
      <c r="M89" s="6">
        <f t="shared" si="4"/>
        <v>585.02768388806055</v>
      </c>
      <c r="N89" s="73"/>
      <c r="O89" s="73"/>
      <c r="P89" s="20"/>
      <c r="Q89" s="20"/>
      <c r="R89" s="20"/>
      <c r="S89" s="21"/>
    </row>
    <row r="90" spans="4:19">
      <c r="D90" s="19"/>
      <c r="E90" s="20"/>
      <c r="F90" s="20"/>
      <c r="G90" s="20"/>
      <c r="H90" s="20"/>
      <c r="I90" s="68"/>
      <c r="J90" s="7" t="s">
        <v>21</v>
      </c>
      <c r="K90" s="9"/>
      <c r="L90" s="9">
        <f>SUM(K78:K89)+SUM(M78:M89)+L74</f>
        <v>87713.805846389223</v>
      </c>
      <c r="M90" s="10"/>
      <c r="N90" s="73"/>
      <c r="O90" s="73"/>
      <c r="P90" s="20"/>
      <c r="Q90" s="20"/>
      <c r="R90" s="20"/>
      <c r="S90" s="21"/>
    </row>
    <row r="91" spans="4:19">
      <c r="D91" s="19"/>
      <c r="E91" s="20"/>
      <c r="F91" s="20"/>
      <c r="G91" s="20"/>
      <c r="H91" s="20"/>
      <c r="I91" s="68"/>
      <c r="J91" s="20"/>
      <c r="K91" s="20"/>
      <c r="L91" s="20"/>
      <c r="M91" s="20"/>
      <c r="N91" s="20"/>
      <c r="O91" s="20"/>
      <c r="P91" s="20"/>
      <c r="Q91" s="20"/>
      <c r="R91" s="20"/>
      <c r="S91" s="21"/>
    </row>
    <row r="92" spans="4:19">
      <c r="D92" s="19" t="str">
        <f>IF($M$9=0,"Loan available for new accounts","")</f>
        <v>Loan available for new accounts</v>
      </c>
      <c r="E92" s="20"/>
      <c r="F92" s="20"/>
      <c r="G92" s="20"/>
      <c r="H92" s="20"/>
      <c r="I92" s="68"/>
      <c r="J92" s="99" t="s">
        <v>22</v>
      </c>
      <c r="K92" s="100"/>
      <c r="L92" s="100"/>
      <c r="M92" s="101"/>
      <c r="N92" s="74"/>
      <c r="O92" s="74"/>
      <c r="P92" s="20"/>
      <c r="Q92" s="20"/>
      <c r="R92" s="20"/>
      <c r="S92" s="21"/>
    </row>
    <row r="93" spans="4:19">
      <c r="D93" s="19" t="str">
        <f>IF($M$9=0,"Loan amount available","")</f>
        <v>Loan amount available</v>
      </c>
      <c r="E93" s="20"/>
      <c r="F93" s="20">
        <f>IF($M$9=0,25%*L74,"")</f>
        <v>20173.368409933122</v>
      </c>
      <c r="G93" s="95" t="s">
        <v>81</v>
      </c>
      <c r="H93" s="70" t="s">
        <v>64</v>
      </c>
      <c r="I93" s="68"/>
      <c r="J93" s="1" t="s">
        <v>1</v>
      </c>
      <c r="K93" s="2" t="s">
        <v>14</v>
      </c>
      <c r="L93" s="2" t="s">
        <v>0</v>
      </c>
      <c r="M93" s="3" t="s">
        <v>15</v>
      </c>
      <c r="N93" s="72"/>
      <c r="O93" s="72"/>
      <c r="P93" s="68"/>
      <c r="Q93" s="68"/>
      <c r="R93" s="20"/>
      <c r="S93" s="21"/>
    </row>
    <row r="94" spans="4:19">
      <c r="D94" s="19"/>
      <c r="E94" s="20"/>
      <c r="F94" s="20"/>
      <c r="G94" s="34">
        <v>8.6999999999999994E-2</v>
      </c>
      <c r="H94" s="71" t="s">
        <v>65</v>
      </c>
      <c r="I94" s="68"/>
      <c r="J94" s="4" t="s">
        <v>2</v>
      </c>
      <c r="K94" s="32"/>
      <c r="L94" s="29">
        <f>$L$90+IF(H94="before 5th",K94,0)</f>
        <v>87713.805846389223</v>
      </c>
      <c r="M94" s="6">
        <f>L94*G94/12</f>
        <v>635.92509238632181</v>
      </c>
      <c r="N94" s="77"/>
      <c r="O94" s="73"/>
      <c r="P94" s="96"/>
      <c r="Q94" s="68"/>
      <c r="R94" s="20"/>
      <c r="S94" s="21"/>
    </row>
    <row r="95" spans="4:19">
      <c r="D95" s="19"/>
      <c r="E95" s="20"/>
      <c r="F95" s="20"/>
      <c r="G95" s="34">
        <v>8.6999999999999994E-2</v>
      </c>
      <c r="H95" s="71" t="s">
        <v>65</v>
      </c>
      <c r="I95" s="68"/>
      <c r="J95" s="4" t="s">
        <v>3</v>
      </c>
      <c r="K95" s="32"/>
      <c r="L95" s="29">
        <f>SUM($K$94:K94)+$L$90+IF(H95="before 5th",K95,0)</f>
        <v>87713.805846389223</v>
      </c>
      <c r="M95" s="6">
        <f t="shared" ref="M95:M105" si="5">L95*G95/12</f>
        <v>635.92509238632181</v>
      </c>
      <c r="N95" s="73"/>
      <c r="O95" s="73"/>
      <c r="P95" s="20" t="s">
        <v>40</v>
      </c>
      <c r="Q95" s="20"/>
      <c r="R95" s="20"/>
      <c r="S95" s="21"/>
    </row>
    <row r="96" spans="4:19">
      <c r="D96" s="19"/>
      <c r="E96" s="20"/>
      <c r="F96" s="20"/>
      <c r="G96" s="34">
        <v>8.6999999999999994E-2</v>
      </c>
      <c r="H96" s="71" t="s">
        <v>65</v>
      </c>
      <c r="I96" s="68"/>
      <c r="J96" s="4" t="s">
        <v>4</v>
      </c>
      <c r="K96" s="32"/>
      <c r="L96" s="29">
        <f>SUM($K$94:K95)+$L$90+IF(H96="before 5th",K96,0)</f>
        <v>87713.805846389223</v>
      </c>
      <c r="M96" s="6">
        <f t="shared" si="5"/>
        <v>635.92509238632181</v>
      </c>
      <c r="N96" s="77"/>
      <c r="O96" s="77"/>
      <c r="P96" s="33">
        <v>150000</v>
      </c>
      <c r="Q96" s="20"/>
      <c r="R96" s="20"/>
      <c r="S96" s="21"/>
    </row>
    <row r="97" spans="4:19">
      <c r="D97" s="19"/>
      <c r="E97" s="20"/>
      <c r="F97" s="20"/>
      <c r="G97" s="34">
        <v>8.6999999999999994E-2</v>
      </c>
      <c r="H97" s="71" t="s">
        <v>65</v>
      </c>
      <c r="I97" s="68"/>
      <c r="J97" s="4" t="s">
        <v>5</v>
      </c>
      <c r="K97" s="32"/>
      <c r="L97" s="29">
        <f>SUM($K$94:K96)+$L$90+IF(H97="before 5th",K97,0)</f>
        <v>87713.805846389223</v>
      </c>
      <c r="M97" s="6">
        <f t="shared" si="5"/>
        <v>635.92509238632181</v>
      </c>
      <c r="N97" s="73"/>
      <c r="O97" s="73"/>
      <c r="P97" s="41" t="str">
        <f>IF(SUM(K94:K105)&gt;P96,"Warning: total investment exceeds allowed limit","")</f>
        <v/>
      </c>
      <c r="Q97" s="49"/>
      <c r="R97" s="49"/>
      <c r="S97" s="50"/>
    </row>
    <row r="98" spans="4:19">
      <c r="D98" s="19"/>
      <c r="E98" s="20"/>
      <c r="F98" s="20"/>
      <c r="G98" s="34">
        <v>8.6999999999999994E-2</v>
      </c>
      <c r="H98" s="71" t="s">
        <v>65</v>
      </c>
      <c r="I98" s="68"/>
      <c r="J98" s="4" t="s">
        <v>6</v>
      </c>
      <c r="K98" s="32"/>
      <c r="L98" s="29">
        <f>SUM($K$94:K97)+$L$90+IF(H98="before 5th",K98,0)</f>
        <v>87713.805846389223</v>
      </c>
      <c r="M98" s="6">
        <f t="shared" si="5"/>
        <v>635.92509238632181</v>
      </c>
      <c r="N98" s="73"/>
      <c r="O98" s="73"/>
      <c r="P98" s="20"/>
      <c r="Q98" s="20"/>
      <c r="R98" s="20"/>
      <c r="S98" s="21"/>
    </row>
    <row r="99" spans="4:19">
      <c r="D99" s="19"/>
      <c r="E99" s="20"/>
      <c r="F99" s="20"/>
      <c r="G99" s="34">
        <v>8.6999999999999994E-2</v>
      </c>
      <c r="H99" s="71" t="s">
        <v>65</v>
      </c>
      <c r="I99" s="68"/>
      <c r="J99" s="4" t="s">
        <v>7</v>
      </c>
      <c r="K99" s="32"/>
      <c r="L99" s="29">
        <f>SUM($K$94:K98)+$L$90+IF(H99="before 5th",K99,0)</f>
        <v>87713.805846389223</v>
      </c>
      <c r="M99" s="6">
        <f t="shared" si="5"/>
        <v>635.92509238632181</v>
      </c>
      <c r="N99" s="73"/>
      <c r="O99" s="73"/>
      <c r="P99" s="20"/>
      <c r="Q99" s="20"/>
      <c r="R99" s="20"/>
      <c r="S99" s="21"/>
    </row>
    <row r="100" spans="4:19">
      <c r="D100" s="19"/>
      <c r="E100" s="20"/>
      <c r="F100" s="20"/>
      <c r="G100" s="34">
        <v>8.6999999999999994E-2</v>
      </c>
      <c r="H100" s="71" t="s">
        <v>65</v>
      </c>
      <c r="I100" s="68"/>
      <c r="J100" s="4" t="s">
        <v>8</v>
      </c>
      <c r="K100" s="32"/>
      <c r="L100" s="29">
        <f>SUM($K$94:K99)+$L$90+IF(H100="before 5th",K100,0)</f>
        <v>87713.805846389223</v>
      </c>
      <c r="M100" s="6">
        <f t="shared" si="5"/>
        <v>635.92509238632181</v>
      </c>
      <c r="N100" s="73"/>
      <c r="O100" s="73"/>
      <c r="P100" s="20"/>
      <c r="Q100" s="20"/>
      <c r="R100" s="20"/>
      <c r="S100" s="21"/>
    </row>
    <row r="101" spans="4:19">
      <c r="D101" s="19"/>
      <c r="E101" s="20"/>
      <c r="F101" s="20"/>
      <c r="G101" s="34">
        <v>8.6999999999999994E-2</v>
      </c>
      <c r="H101" s="71" t="s">
        <v>65</v>
      </c>
      <c r="I101" s="68"/>
      <c r="J101" s="4" t="s">
        <v>9</v>
      </c>
      <c r="K101" s="32"/>
      <c r="L101" s="29">
        <f>SUM($K$94:K100)+$L$90+IF(H101="before 5th",K101,0)</f>
        <v>87713.805846389223</v>
      </c>
      <c r="M101" s="6">
        <f t="shared" si="5"/>
        <v>635.92509238632181</v>
      </c>
      <c r="N101" s="73"/>
      <c r="O101" s="73"/>
      <c r="P101" s="20"/>
      <c r="Q101" s="20"/>
      <c r="R101" s="20"/>
      <c r="S101" s="21"/>
    </row>
    <row r="102" spans="4:19">
      <c r="D102" s="19"/>
      <c r="E102" s="20"/>
      <c r="F102" s="20"/>
      <c r="G102" s="34">
        <v>8.6999999999999994E-2</v>
      </c>
      <c r="H102" s="71" t="s">
        <v>65</v>
      </c>
      <c r="I102" s="68"/>
      <c r="J102" s="4" t="s">
        <v>10</v>
      </c>
      <c r="K102" s="32"/>
      <c r="L102" s="29">
        <f>SUM($K$94:K101)+$L$90+IF(H102="before 5th",K102,0)</f>
        <v>87713.805846389223</v>
      </c>
      <c r="M102" s="6">
        <f t="shared" si="5"/>
        <v>635.92509238632181</v>
      </c>
      <c r="N102" s="73"/>
      <c r="O102" s="73"/>
      <c r="P102" s="20"/>
      <c r="Q102" s="20"/>
      <c r="R102" s="20"/>
      <c r="S102" s="21"/>
    </row>
    <row r="103" spans="4:19">
      <c r="D103" s="19"/>
      <c r="E103" s="20"/>
      <c r="F103" s="20"/>
      <c r="G103" s="34">
        <v>8.6999999999999994E-2</v>
      </c>
      <c r="H103" s="71" t="s">
        <v>65</v>
      </c>
      <c r="I103" s="68"/>
      <c r="J103" s="4" t="s">
        <v>11</v>
      </c>
      <c r="K103" s="32"/>
      <c r="L103" s="29">
        <f>SUM($K$94:K102)+$L$90+IF(H103="before 5th",K103,0)</f>
        <v>87713.805846389223</v>
      </c>
      <c r="M103" s="6">
        <f t="shared" si="5"/>
        <v>635.92509238632181</v>
      </c>
      <c r="N103" s="73"/>
      <c r="O103" s="73"/>
      <c r="P103" s="20"/>
      <c r="Q103" s="20"/>
      <c r="R103" s="20"/>
      <c r="S103" s="21"/>
    </row>
    <row r="104" spans="4:19">
      <c r="D104" s="19"/>
      <c r="E104" s="20"/>
      <c r="F104" s="20"/>
      <c r="G104" s="34">
        <v>8.6999999999999994E-2</v>
      </c>
      <c r="H104" s="71" t="s">
        <v>65</v>
      </c>
      <c r="I104" s="68"/>
      <c r="J104" s="4" t="s">
        <v>12</v>
      </c>
      <c r="K104" s="32"/>
      <c r="L104" s="29">
        <f>SUM($K$94:K103)+$L$90+IF(H104="before 5th",K104,0)</f>
        <v>87713.805846389223</v>
      </c>
      <c r="M104" s="6">
        <f t="shared" si="5"/>
        <v>635.92509238632181</v>
      </c>
      <c r="N104" s="73"/>
      <c r="O104" s="73"/>
      <c r="P104" s="20"/>
      <c r="Q104" s="20"/>
      <c r="R104" s="20"/>
      <c r="S104" s="21"/>
    </row>
    <row r="105" spans="4:19">
      <c r="D105" s="19"/>
      <c r="E105" s="20"/>
      <c r="F105" s="20"/>
      <c r="G105" s="34">
        <v>8.6999999999999994E-2</v>
      </c>
      <c r="H105" s="71" t="s">
        <v>65</v>
      </c>
      <c r="I105" s="68"/>
      <c r="J105" s="4" t="s">
        <v>13</v>
      </c>
      <c r="K105" s="32"/>
      <c r="L105" s="29">
        <f>SUM($K$94:K104)+$L$90+IF(H105="before 5th",K105,0)</f>
        <v>87713.805846389223</v>
      </c>
      <c r="M105" s="6">
        <f t="shared" si="5"/>
        <v>635.92509238632181</v>
      </c>
      <c r="N105" s="73"/>
      <c r="O105" s="73"/>
      <c r="P105" s="20"/>
      <c r="Q105" s="20"/>
      <c r="R105" s="20"/>
      <c r="S105" s="21"/>
    </row>
    <row r="106" spans="4:19">
      <c r="D106" s="19"/>
      <c r="E106" s="20"/>
      <c r="F106" s="20"/>
      <c r="G106" s="20"/>
      <c r="H106" s="20"/>
      <c r="I106" s="68"/>
      <c r="J106" s="7" t="s">
        <v>21</v>
      </c>
      <c r="K106" s="9"/>
      <c r="L106" s="9">
        <f>SUM(K94:K105)+SUM(M94:M105)+L90</f>
        <v>95344.906955025086</v>
      </c>
      <c r="M106" s="10"/>
      <c r="N106" s="73"/>
      <c r="O106" s="73"/>
      <c r="P106" s="20"/>
      <c r="Q106" s="20"/>
      <c r="R106" s="20"/>
      <c r="S106" s="21"/>
    </row>
    <row r="107" spans="4:19">
      <c r="D107" s="19"/>
      <c r="E107" s="20"/>
      <c r="F107" s="20"/>
      <c r="G107" s="20"/>
      <c r="H107" s="20"/>
      <c r="I107" s="68"/>
      <c r="J107" s="20"/>
      <c r="K107" s="20"/>
      <c r="L107" s="20"/>
      <c r="M107" s="20"/>
      <c r="N107" s="20"/>
      <c r="O107" s="20"/>
      <c r="P107" s="20"/>
      <c r="Q107" s="20"/>
      <c r="R107" s="20"/>
      <c r="S107" s="21"/>
    </row>
    <row r="108" spans="4:19">
      <c r="D108" s="19"/>
      <c r="E108" s="20"/>
      <c r="F108" s="20"/>
      <c r="G108" s="20"/>
      <c r="H108" s="20"/>
      <c r="I108" s="68"/>
      <c r="J108" s="99" t="s">
        <v>23</v>
      </c>
      <c r="K108" s="100"/>
      <c r="L108" s="100"/>
      <c r="M108" s="101"/>
      <c r="N108" s="74"/>
      <c r="O108" s="84" t="s">
        <v>69</v>
      </c>
      <c r="P108" s="20"/>
      <c r="Q108" s="20"/>
      <c r="R108" s="20"/>
      <c r="S108" s="21"/>
    </row>
    <row r="109" spans="4:19">
      <c r="D109" s="19"/>
      <c r="E109" s="20"/>
      <c r="F109" s="20"/>
      <c r="G109" s="95" t="s">
        <v>81</v>
      </c>
      <c r="H109" s="70" t="s">
        <v>64</v>
      </c>
      <c r="I109" s="68"/>
      <c r="J109" s="1" t="s">
        <v>1</v>
      </c>
      <c r="K109" s="2" t="s">
        <v>14</v>
      </c>
      <c r="L109" s="2" t="s">
        <v>0</v>
      </c>
      <c r="M109" s="3" t="s">
        <v>15</v>
      </c>
      <c r="N109" s="3"/>
      <c r="O109" s="97" t="s">
        <v>68</v>
      </c>
      <c r="P109" s="68"/>
      <c r="Q109" s="68"/>
      <c r="R109" s="20"/>
      <c r="S109" s="21"/>
    </row>
    <row r="110" spans="4:19">
      <c r="D110" s="19"/>
      <c r="E110" s="20"/>
      <c r="F110" s="20"/>
      <c r="G110" s="34">
        <v>8.6999999999999994E-2</v>
      </c>
      <c r="H110" s="71" t="s">
        <v>65</v>
      </c>
      <c r="I110" s="68"/>
      <c r="J110" s="4" t="s">
        <v>2</v>
      </c>
      <c r="K110" s="32"/>
      <c r="L110" s="29">
        <f>$L$106+IF(H110="before 5th",K110,0)</f>
        <v>95344.906955025086</v>
      </c>
      <c r="M110" s="6">
        <f>L110*G110/12</f>
        <v>691.25057542393188</v>
      </c>
      <c r="N110" s="78">
        <f t="shared" ref="N110:N115" si="6">IF(O110=MAX($O$110:$O$121),O110,IF(N109=MAX($O$110:$O$121),N109,0))</f>
        <v>0</v>
      </c>
      <c r="O110" s="98"/>
      <c r="P110" s="96"/>
      <c r="Q110" s="68"/>
      <c r="R110" s="20"/>
      <c r="S110" s="21"/>
    </row>
    <row r="111" spans="4:19">
      <c r="D111" s="19" t="str">
        <f>IF($M$9=0,"Withdrawal limit","")</f>
        <v>Withdrawal limit</v>
      </c>
      <c r="E111" s="20"/>
      <c r="F111" s="20">
        <f>IF($M$9=0,50%*MIN(L106,L58),"")</f>
        <v>37117.513173749998</v>
      </c>
      <c r="G111" s="34">
        <v>8.6999999999999994E-2</v>
      </c>
      <c r="H111" s="71" t="s">
        <v>65</v>
      </c>
      <c r="I111" s="68"/>
      <c r="J111" s="4" t="s">
        <v>3</v>
      </c>
      <c r="K111" s="32"/>
      <c r="L111" s="29">
        <f>SUM($K$110:K110)+$L$106+IF(H111="before 5th",K111,0)</f>
        <v>95344.906955025086</v>
      </c>
      <c r="M111" s="6">
        <f t="shared" ref="M111:M121" si="7">L111*G111/12</f>
        <v>691.25057542393188</v>
      </c>
      <c r="N111" s="78">
        <f t="shared" si="6"/>
        <v>0</v>
      </c>
      <c r="O111" s="82"/>
      <c r="P111" s="20" t="s">
        <v>40</v>
      </c>
      <c r="Q111" s="20"/>
      <c r="R111" s="20"/>
      <c r="S111" s="21"/>
    </row>
    <row r="112" spans="4:19">
      <c r="D112" s="19"/>
      <c r="E112" s="20"/>
      <c r="F112" s="20"/>
      <c r="G112" s="34">
        <v>8.6999999999999994E-2</v>
      </c>
      <c r="H112" s="71" t="s">
        <v>65</v>
      </c>
      <c r="I112" s="68"/>
      <c r="J112" s="4" t="s">
        <v>4</v>
      </c>
      <c r="K112" s="32"/>
      <c r="L112" s="29">
        <f>SUM($K$110:K111)+$L$106+IF(H112="before 5th",K112,0)</f>
        <v>95344.906955025086</v>
      </c>
      <c r="M112" s="6">
        <f t="shared" si="7"/>
        <v>691.25057542393188</v>
      </c>
      <c r="N112" s="78">
        <f t="shared" si="6"/>
        <v>0</v>
      </c>
      <c r="O112" s="82"/>
      <c r="P112" s="33">
        <v>150000</v>
      </c>
      <c r="Q112" s="20"/>
      <c r="R112" s="20"/>
      <c r="S112" s="21"/>
    </row>
    <row r="113" spans="4:19">
      <c r="D113" s="19"/>
      <c r="E113" s="20"/>
      <c r="F113" s="20"/>
      <c r="G113" s="34">
        <v>8.6999999999999994E-2</v>
      </c>
      <c r="H113" s="71" t="s">
        <v>65</v>
      </c>
      <c r="I113" s="68"/>
      <c r="J113" s="4" t="s">
        <v>5</v>
      </c>
      <c r="K113" s="32"/>
      <c r="L113" s="29">
        <f>SUM($K$110:K112)+$L$106+IF(H113="before 5th",K113,0)</f>
        <v>95344.906955025086</v>
      </c>
      <c r="M113" s="6">
        <f t="shared" si="7"/>
        <v>691.25057542393188</v>
      </c>
      <c r="N113" s="78">
        <f t="shared" si="6"/>
        <v>0</v>
      </c>
      <c r="O113" s="82"/>
      <c r="P113" s="41" t="str">
        <f>IF(SUM(K110:K121)&gt;P112,"Warning: total investment exceeds allowed limit","")</f>
        <v/>
      </c>
      <c r="Q113" s="49"/>
      <c r="R113" s="49"/>
      <c r="S113" s="50"/>
    </row>
    <row r="114" spans="4:19">
      <c r="D114" s="19"/>
      <c r="E114" s="20"/>
      <c r="F114" s="20"/>
      <c r="G114" s="34">
        <v>8.6999999999999994E-2</v>
      </c>
      <c r="H114" s="71" t="s">
        <v>65</v>
      </c>
      <c r="I114" s="68"/>
      <c r="J114" s="4" t="s">
        <v>6</v>
      </c>
      <c r="K114" s="32"/>
      <c r="L114" s="29">
        <f>SUM($K$110:K113)+$L$106+IF(H114="before 5th",K114,0)</f>
        <v>95344.906955025086</v>
      </c>
      <c r="M114" s="6">
        <f t="shared" si="7"/>
        <v>691.25057542393188</v>
      </c>
      <c r="N114" s="78">
        <f t="shared" si="6"/>
        <v>0</v>
      </c>
      <c r="O114" s="82"/>
      <c r="P114" s="20"/>
      <c r="Q114" s="20"/>
      <c r="R114" s="20"/>
      <c r="S114" s="21"/>
    </row>
    <row r="115" spans="4:19">
      <c r="D115" s="19"/>
      <c r="E115" s="20"/>
      <c r="F115" s="20"/>
      <c r="G115" s="34">
        <v>8.6999999999999994E-2</v>
      </c>
      <c r="H115" s="71" t="s">
        <v>65</v>
      </c>
      <c r="I115" s="68"/>
      <c r="J115" s="4" t="s">
        <v>7</v>
      </c>
      <c r="K115" s="32"/>
      <c r="L115" s="29">
        <f>SUM($K$110:K114)+$L$106+IF(H115="before 5th",K115,0)</f>
        <v>95344.906955025086</v>
      </c>
      <c r="M115" s="6">
        <f t="shared" si="7"/>
        <v>691.25057542393188</v>
      </c>
      <c r="N115" s="78">
        <f t="shared" si="6"/>
        <v>0</v>
      </c>
      <c r="O115" s="82"/>
      <c r="P115" s="79" t="str">
        <f>IF(N122&gt;F111,"Withdrawal is above limit","")</f>
        <v/>
      </c>
      <c r="Q115" s="75"/>
      <c r="R115" s="75"/>
      <c r="S115" s="80"/>
    </row>
    <row r="116" spans="4:19">
      <c r="D116" s="19"/>
      <c r="E116" s="20"/>
      <c r="F116" s="20"/>
      <c r="G116" s="34">
        <v>8.6999999999999994E-2</v>
      </c>
      <c r="H116" s="71" t="s">
        <v>65</v>
      </c>
      <c r="I116" s="68"/>
      <c r="J116" s="4" t="s">
        <v>8</v>
      </c>
      <c r="K116" s="32"/>
      <c r="L116" s="29">
        <f>SUM($K$110:K115)+$L$106+IF(H116="before 5th",K116,0)</f>
        <v>95344.906955025086</v>
      </c>
      <c r="M116" s="6">
        <f t="shared" si="7"/>
        <v>691.25057542393188</v>
      </c>
      <c r="N116" s="78">
        <f t="shared" ref="N116:N121" si="8">IF(O116=MAX($O$110:$O$121),O116,IF(N115=MAX($O$110:$O$121),N115,0))</f>
        <v>0</v>
      </c>
      <c r="O116" s="82"/>
      <c r="P116" s="20"/>
      <c r="Q116" s="20"/>
      <c r="R116" s="20"/>
      <c r="S116" s="21"/>
    </row>
    <row r="117" spans="4:19">
      <c r="D117" s="19"/>
      <c r="E117" s="20"/>
      <c r="F117" s="20"/>
      <c r="G117" s="34">
        <v>8.6999999999999994E-2</v>
      </c>
      <c r="H117" s="71" t="s">
        <v>65</v>
      </c>
      <c r="I117" s="68"/>
      <c r="J117" s="4" t="s">
        <v>9</v>
      </c>
      <c r="K117" s="32"/>
      <c r="L117" s="29">
        <f>SUM($K$110:K116)+$L$106+IF(H117="before 5th",K117,0)</f>
        <v>95344.906955025086</v>
      </c>
      <c r="M117" s="6">
        <f t="shared" si="7"/>
        <v>691.25057542393188</v>
      </c>
      <c r="N117" s="78">
        <f t="shared" si="8"/>
        <v>0</v>
      </c>
      <c r="O117" s="82"/>
      <c r="P117" s="20"/>
      <c r="Q117" s="20"/>
      <c r="R117" s="20"/>
      <c r="S117" s="21"/>
    </row>
    <row r="118" spans="4:19">
      <c r="D118" s="19"/>
      <c r="E118" s="20"/>
      <c r="F118" s="20"/>
      <c r="G118" s="34">
        <v>8.6999999999999994E-2</v>
      </c>
      <c r="H118" s="71" t="s">
        <v>65</v>
      </c>
      <c r="I118" s="68"/>
      <c r="J118" s="4" t="s">
        <v>10</v>
      </c>
      <c r="K118" s="32"/>
      <c r="L118" s="29">
        <f>SUM($K$110:K117)+$L$106+IF(H118="before 5th",K118,0)</f>
        <v>95344.906955025086</v>
      </c>
      <c r="M118" s="6">
        <f t="shared" si="7"/>
        <v>691.25057542393188</v>
      </c>
      <c r="N118" s="78">
        <f t="shared" si="8"/>
        <v>0</v>
      </c>
      <c r="O118" s="82"/>
      <c r="P118" s="20"/>
      <c r="Q118" s="20"/>
      <c r="R118" s="20"/>
      <c r="S118" s="21"/>
    </row>
    <row r="119" spans="4:19">
      <c r="D119" s="19"/>
      <c r="E119" s="20"/>
      <c r="F119" s="20"/>
      <c r="G119" s="34">
        <v>8.6999999999999994E-2</v>
      </c>
      <c r="H119" s="71" t="s">
        <v>65</v>
      </c>
      <c r="I119" s="68"/>
      <c r="J119" s="4" t="s">
        <v>11</v>
      </c>
      <c r="K119" s="32"/>
      <c r="L119" s="29">
        <f>SUM($K$110:K118)+$L$106+IF(H119="before 5th",K119,0)</f>
        <v>95344.906955025086</v>
      </c>
      <c r="M119" s="6">
        <f t="shared" si="7"/>
        <v>691.25057542393188</v>
      </c>
      <c r="N119" s="78">
        <f t="shared" si="8"/>
        <v>0</v>
      </c>
      <c r="O119" s="82"/>
      <c r="P119" s="20"/>
      <c r="Q119" s="20"/>
      <c r="R119" s="20"/>
      <c r="S119" s="21"/>
    </row>
    <row r="120" spans="4:19">
      <c r="D120" s="19"/>
      <c r="E120" s="20"/>
      <c r="F120" s="20"/>
      <c r="G120" s="34">
        <v>8.6999999999999994E-2</v>
      </c>
      <c r="H120" s="71" t="s">
        <v>65</v>
      </c>
      <c r="I120" s="68"/>
      <c r="J120" s="4" t="s">
        <v>12</v>
      </c>
      <c r="K120" s="32"/>
      <c r="L120" s="29">
        <f>SUM($K$110:K119)+$L$106+IF(H120="before 5th",K120,0)</f>
        <v>95344.906955025086</v>
      </c>
      <c r="M120" s="6">
        <f t="shared" si="7"/>
        <v>691.25057542393188</v>
      </c>
      <c r="N120" s="78">
        <f t="shared" si="8"/>
        <v>0</v>
      </c>
      <c r="O120" s="82"/>
      <c r="P120" s="20"/>
      <c r="Q120" s="20"/>
      <c r="R120" s="20"/>
      <c r="S120" s="21"/>
    </row>
    <row r="121" spans="4:19">
      <c r="D121" s="19"/>
      <c r="E121" s="20"/>
      <c r="F121" s="20"/>
      <c r="G121" s="34">
        <v>8.6999999999999994E-2</v>
      </c>
      <c r="H121" s="71" t="s">
        <v>65</v>
      </c>
      <c r="I121" s="68"/>
      <c r="J121" s="4" t="s">
        <v>13</v>
      </c>
      <c r="K121" s="32"/>
      <c r="L121" s="29">
        <f>SUM($K$110:K120)+$L$106+IF(H121="before 5th",K121,0)</f>
        <v>95344.906955025086</v>
      </c>
      <c r="M121" s="6">
        <f t="shared" si="7"/>
        <v>691.25057542393188</v>
      </c>
      <c r="N121" s="78">
        <f t="shared" si="8"/>
        <v>0</v>
      </c>
      <c r="O121" s="82"/>
      <c r="P121" s="20"/>
      <c r="Q121" s="20"/>
      <c r="R121" s="20"/>
      <c r="S121" s="21"/>
    </row>
    <row r="122" spans="4:19">
      <c r="D122" s="19"/>
      <c r="E122" s="20"/>
      <c r="F122" s="20"/>
      <c r="G122" s="20"/>
      <c r="H122" s="20"/>
      <c r="I122" s="68"/>
      <c r="J122" s="7" t="s">
        <v>21</v>
      </c>
      <c r="K122" s="9"/>
      <c r="L122" s="9">
        <f>SUM(K110:K121)+SUM(M110:M121)+L106-N122</f>
        <v>103639.91386011227</v>
      </c>
      <c r="M122" s="10"/>
      <c r="N122" s="68">
        <f>MAX(O110:O121)</f>
        <v>0</v>
      </c>
      <c r="O122" s="73"/>
      <c r="P122" s="20"/>
      <c r="Q122" s="20"/>
      <c r="R122" s="20"/>
      <c r="S122" s="21"/>
    </row>
    <row r="123" spans="4:19">
      <c r="D123" s="19"/>
      <c r="E123" s="20"/>
      <c r="F123" s="20"/>
      <c r="G123" s="20"/>
      <c r="H123" s="20"/>
      <c r="I123" s="68"/>
      <c r="J123" s="20"/>
      <c r="K123" s="20"/>
      <c r="L123" s="20"/>
      <c r="M123" s="20"/>
      <c r="N123" s="68"/>
      <c r="O123" s="20"/>
      <c r="P123" s="20"/>
      <c r="Q123" s="20"/>
      <c r="R123" s="20"/>
      <c r="S123" s="21"/>
    </row>
    <row r="124" spans="4:19">
      <c r="D124" s="19"/>
      <c r="E124" s="20"/>
      <c r="F124" s="20"/>
      <c r="G124" s="20"/>
      <c r="H124" s="20"/>
      <c r="I124" s="68"/>
      <c r="J124" s="99" t="s">
        <v>24</v>
      </c>
      <c r="K124" s="100"/>
      <c r="L124" s="100"/>
      <c r="M124" s="101"/>
      <c r="N124" s="74"/>
      <c r="O124" s="84" t="s">
        <v>69</v>
      </c>
      <c r="P124" s="20"/>
      <c r="Q124" s="20"/>
      <c r="R124" s="20"/>
      <c r="S124" s="21"/>
    </row>
    <row r="125" spans="4:19">
      <c r="D125" s="19"/>
      <c r="E125" s="20"/>
      <c r="F125" s="20"/>
      <c r="G125" s="95" t="s">
        <v>81</v>
      </c>
      <c r="H125" s="70" t="s">
        <v>64</v>
      </c>
      <c r="I125" s="68"/>
      <c r="J125" s="1" t="s">
        <v>1</v>
      </c>
      <c r="K125" s="2" t="s">
        <v>14</v>
      </c>
      <c r="L125" s="2" t="s">
        <v>0</v>
      </c>
      <c r="M125" s="3" t="s">
        <v>15</v>
      </c>
      <c r="N125" s="3"/>
      <c r="O125" s="97" t="s">
        <v>68</v>
      </c>
      <c r="P125" s="68"/>
      <c r="Q125" s="68"/>
      <c r="R125" s="20"/>
      <c r="S125" s="21"/>
    </row>
    <row r="126" spans="4:19">
      <c r="D126" s="19"/>
      <c r="E126" s="20"/>
      <c r="F126" s="20"/>
      <c r="G126" s="34">
        <v>8.6999999999999994E-2</v>
      </c>
      <c r="H126" s="71" t="s">
        <v>65</v>
      </c>
      <c r="I126" s="68"/>
      <c r="J126" s="4" t="s">
        <v>2</v>
      </c>
      <c r="K126" s="32"/>
      <c r="L126" s="29">
        <f>$L$122+IF(H126="before 5th",K126,0)</f>
        <v>103639.91386011227</v>
      </c>
      <c r="M126" s="6">
        <f>L126*G126/12</f>
        <v>751.38937548581396</v>
      </c>
      <c r="N126" s="78">
        <f>IF(O126=MAX($O$126:$O$137),O126,IF(N125=MAX($O$126:$O$137),N125,0))</f>
        <v>0</v>
      </c>
      <c r="O126" s="98"/>
      <c r="P126" s="96"/>
      <c r="Q126" s="68"/>
      <c r="R126" s="20"/>
      <c r="S126" s="21"/>
    </row>
    <row r="127" spans="4:19">
      <c r="D127" s="19" t="str">
        <f>IF($M$9=0,"Withdrawal limit","")</f>
        <v>Withdrawal limit</v>
      </c>
      <c r="E127" s="20"/>
      <c r="F127" s="20">
        <f>IF($M$9=0,50%*MIN(L122,L74),"")</f>
        <v>40346.736819866244</v>
      </c>
      <c r="G127" s="34">
        <v>8.6999999999999994E-2</v>
      </c>
      <c r="H127" s="71" t="s">
        <v>65</v>
      </c>
      <c r="I127" s="68"/>
      <c r="J127" s="4" t="s">
        <v>3</v>
      </c>
      <c r="K127" s="32"/>
      <c r="L127" s="29">
        <f>SUM($K$126:K126)+$L$122+IF(H127="before 5th",K127,0)</f>
        <v>103639.91386011227</v>
      </c>
      <c r="M127" s="6">
        <f t="shared" ref="M127:M137" si="9">L127*G127/12</f>
        <v>751.38937548581396</v>
      </c>
      <c r="N127" s="78">
        <f t="shared" ref="N127:N137" si="10">IF(O127=MAX($O$126:$O$137),O127,IF(N126=MAX($O$126:$O$137),N126,0))</f>
        <v>0</v>
      </c>
      <c r="O127" s="82"/>
      <c r="P127" s="20" t="s">
        <v>40</v>
      </c>
      <c r="Q127" s="20"/>
      <c r="R127" s="20"/>
      <c r="S127" s="21"/>
    </row>
    <row r="128" spans="4:19">
      <c r="D128" s="19"/>
      <c r="E128" s="20"/>
      <c r="F128" s="20"/>
      <c r="G128" s="34">
        <v>8.6999999999999994E-2</v>
      </c>
      <c r="H128" s="71" t="s">
        <v>65</v>
      </c>
      <c r="I128" s="68"/>
      <c r="J128" s="4" t="s">
        <v>4</v>
      </c>
      <c r="K128" s="32"/>
      <c r="L128" s="29">
        <f>SUM($K$126:K127)+$L$122+IF(H128="before 5th",K128,0)</f>
        <v>103639.91386011227</v>
      </c>
      <c r="M128" s="6">
        <f t="shared" si="9"/>
        <v>751.38937548581396</v>
      </c>
      <c r="N128" s="78">
        <f t="shared" si="10"/>
        <v>0</v>
      </c>
      <c r="O128" s="82"/>
      <c r="P128" s="33">
        <v>150000</v>
      </c>
      <c r="Q128" s="20"/>
      <c r="R128" s="20"/>
      <c r="S128" s="21"/>
    </row>
    <row r="129" spans="4:19">
      <c r="D129" s="19"/>
      <c r="E129" s="20"/>
      <c r="F129" s="20"/>
      <c r="G129" s="34">
        <v>8.6999999999999994E-2</v>
      </c>
      <c r="H129" s="71" t="s">
        <v>65</v>
      </c>
      <c r="I129" s="68"/>
      <c r="J129" s="4" t="s">
        <v>5</v>
      </c>
      <c r="K129" s="32"/>
      <c r="L129" s="29">
        <f>SUM($K$126:K128)+$L$122+IF(H129="before 5th",K129,0)</f>
        <v>103639.91386011227</v>
      </c>
      <c r="M129" s="6">
        <f t="shared" si="9"/>
        <v>751.38937548581396</v>
      </c>
      <c r="N129" s="78">
        <f t="shared" si="10"/>
        <v>0</v>
      </c>
      <c r="O129" s="82"/>
      <c r="P129" s="41" t="str">
        <f>IF(SUM(K126:K137)&gt;P128,"Warning: total investment exceeds allowed limit","")</f>
        <v/>
      </c>
      <c r="Q129" s="49"/>
      <c r="R129" s="49"/>
      <c r="S129" s="50"/>
    </row>
    <row r="130" spans="4:19">
      <c r="D130" s="19"/>
      <c r="E130" s="20"/>
      <c r="F130" s="20"/>
      <c r="G130" s="34">
        <v>8.6999999999999994E-2</v>
      </c>
      <c r="H130" s="71" t="s">
        <v>65</v>
      </c>
      <c r="I130" s="68"/>
      <c r="J130" s="4" t="s">
        <v>6</v>
      </c>
      <c r="K130" s="32"/>
      <c r="L130" s="29">
        <f>SUM($K$126:K129)+$L$122+IF(H130="before 5th",K130,0)</f>
        <v>103639.91386011227</v>
      </c>
      <c r="M130" s="6">
        <f t="shared" si="9"/>
        <v>751.38937548581396</v>
      </c>
      <c r="N130" s="78">
        <f t="shared" si="10"/>
        <v>0</v>
      </c>
      <c r="O130" s="82"/>
      <c r="P130" s="20"/>
      <c r="Q130" s="20"/>
      <c r="R130" s="20"/>
      <c r="S130" s="21"/>
    </row>
    <row r="131" spans="4:19">
      <c r="D131" s="19"/>
      <c r="E131" s="20"/>
      <c r="F131" s="20"/>
      <c r="G131" s="34">
        <v>8.6999999999999994E-2</v>
      </c>
      <c r="H131" s="71" t="s">
        <v>65</v>
      </c>
      <c r="I131" s="68"/>
      <c r="J131" s="4" t="s">
        <v>7</v>
      </c>
      <c r="K131" s="32"/>
      <c r="L131" s="29">
        <f>SUM($K$126:K130)+$L$122+IF(H131="before 5th",K131,0)</f>
        <v>103639.91386011227</v>
      </c>
      <c r="M131" s="6">
        <f t="shared" si="9"/>
        <v>751.38937548581396</v>
      </c>
      <c r="N131" s="78">
        <f t="shared" si="10"/>
        <v>0</v>
      </c>
      <c r="O131" s="82"/>
      <c r="P131" s="79" t="str">
        <f>IF(N138&gt;F127,"Withdrawal is above limit","")</f>
        <v/>
      </c>
      <c r="Q131" s="75"/>
      <c r="R131" s="75"/>
      <c r="S131" s="80"/>
    </row>
    <row r="132" spans="4:19">
      <c r="D132" s="19"/>
      <c r="E132" s="20"/>
      <c r="F132" s="20"/>
      <c r="G132" s="34">
        <v>8.6999999999999994E-2</v>
      </c>
      <c r="H132" s="71" t="s">
        <v>65</v>
      </c>
      <c r="I132" s="68"/>
      <c r="J132" s="4" t="s">
        <v>8</v>
      </c>
      <c r="K132" s="32"/>
      <c r="L132" s="29">
        <f>SUM($K$126:K131)+$L$122+IF(H132="before 5th",K132,0)</f>
        <v>103639.91386011227</v>
      </c>
      <c r="M132" s="6">
        <f t="shared" si="9"/>
        <v>751.38937548581396</v>
      </c>
      <c r="N132" s="78">
        <f t="shared" si="10"/>
        <v>0</v>
      </c>
      <c r="O132" s="82"/>
      <c r="P132" s="20"/>
      <c r="Q132" s="20"/>
      <c r="R132" s="20"/>
      <c r="S132" s="21"/>
    </row>
    <row r="133" spans="4:19">
      <c r="D133" s="19"/>
      <c r="E133" s="20"/>
      <c r="F133" s="20"/>
      <c r="G133" s="34">
        <v>8.6999999999999994E-2</v>
      </c>
      <c r="H133" s="71" t="s">
        <v>65</v>
      </c>
      <c r="I133" s="68"/>
      <c r="J133" s="4" t="s">
        <v>9</v>
      </c>
      <c r="K133" s="32"/>
      <c r="L133" s="29">
        <f>SUM($K$126:K132)+$L$122+IF(H133="before 5th",K133,0)</f>
        <v>103639.91386011227</v>
      </c>
      <c r="M133" s="6">
        <f t="shared" si="9"/>
        <v>751.38937548581396</v>
      </c>
      <c r="N133" s="78">
        <f t="shared" si="10"/>
        <v>0</v>
      </c>
      <c r="O133" s="82"/>
      <c r="P133" s="20"/>
      <c r="Q133" s="20"/>
      <c r="R133" s="20"/>
      <c r="S133" s="21"/>
    </row>
    <row r="134" spans="4:19">
      <c r="D134" s="19"/>
      <c r="E134" s="20"/>
      <c r="F134" s="20"/>
      <c r="G134" s="34">
        <v>8.6999999999999994E-2</v>
      </c>
      <c r="H134" s="71" t="s">
        <v>65</v>
      </c>
      <c r="I134" s="68"/>
      <c r="J134" s="4" t="s">
        <v>10</v>
      </c>
      <c r="K134" s="32"/>
      <c r="L134" s="29">
        <f>SUM($K$126:K133)+$L$122+IF(H134="before 5th",K134,0)</f>
        <v>103639.91386011227</v>
      </c>
      <c r="M134" s="6">
        <f t="shared" si="9"/>
        <v>751.38937548581396</v>
      </c>
      <c r="N134" s="78">
        <f t="shared" si="10"/>
        <v>0</v>
      </c>
      <c r="O134" s="82"/>
      <c r="P134" s="20"/>
      <c r="Q134" s="20"/>
      <c r="R134" s="20"/>
      <c r="S134" s="21"/>
    </row>
    <row r="135" spans="4:19">
      <c r="D135" s="19"/>
      <c r="E135" s="20"/>
      <c r="F135" s="20"/>
      <c r="G135" s="34">
        <v>8.6999999999999994E-2</v>
      </c>
      <c r="H135" s="71" t="s">
        <v>65</v>
      </c>
      <c r="I135" s="68"/>
      <c r="J135" s="4" t="s">
        <v>11</v>
      </c>
      <c r="K135" s="32"/>
      <c r="L135" s="29">
        <f>SUM($K$126:K134)+$L$122+IF(H135="before 5th",K135,0)</f>
        <v>103639.91386011227</v>
      </c>
      <c r="M135" s="6">
        <f t="shared" si="9"/>
        <v>751.38937548581396</v>
      </c>
      <c r="N135" s="78">
        <f t="shared" si="10"/>
        <v>0</v>
      </c>
      <c r="O135" s="82"/>
      <c r="P135" s="68"/>
      <c r="Q135" s="68"/>
      <c r="R135" s="20"/>
      <c r="S135" s="21"/>
    </row>
    <row r="136" spans="4:19">
      <c r="D136" s="19"/>
      <c r="E136" s="20"/>
      <c r="F136" s="20"/>
      <c r="G136" s="34">
        <v>8.6999999999999994E-2</v>
      </c>
      <c r="H136" s="71" t="s">
        <v>65</v>
      </c>
      <c r="I136" s="68"/>
      <c r="J136" s="4" t="s">
        <v>12</v>
      </c>
      <c r="K136" s="32"/>
      <c r="L136" s="29">
        <f>SUM($K$126:K135)+$L$122+IF(H136="before 5th",K136,0)</f>
        <v>103639.91386011227</v>
      </c>
      <c r="M136" s="6">
        <f t="shared" si="9"/>
        <v>751.38937548581396</v>
      </c>
      <c r="N136" s="78">
        <f t="shared" si="10"/>
        <v>0</v>
      </c>
      <c r="O136" s="82"/>
      <c r="P136" s="68"/>
      <c r="Q136" s="68"/>
      <c r="R136" s="20"/>
      <c r="S136" s="21"/>
    </row>
    <row r="137" spans="4:19">
      <c r="D137" s="19"/>
      <c r="E137" s="20"/>
      <c r="F137" s="20"/>
      <c r="G137" s="34">
        <v>8.6999999999999994E-2</v>
      </c>
      <c r="H137" s="71" t="s">
        <v>65</v>
      </c>
      <c r="I137" s="68"/>
      <c r="J137" s="4" t="s">
        <v>13</v>
      </c>
      <c r="K137" s="32"/>
      <c r="L137" s="29">
        <f>SUM($K$126:K136)+$L$122+IF(H137="before 5th",K137,0)</f>
        <v>103639.91386011227</v>
      </c>
      <c r="M137" s="6">
        <f t="shared" si="9"/>
        <v>751.38937548581396</v>
      </c>
      <c r="N137" s="78">
        <f t="shared" si="10"/>
        <v>0</v>
      </c>
      <c r="O137" s="82"/>
      <c r="P137" s="68"/>
      <c r="Q137" s="68"/>
      <c r="R137" s="20"/>
      <c r="S137" s="21"/>
    </row>
    <row r="138" spans="4:19">
      <c r="D138" s="19"/>
      <c r="E138" s="20"/>
      <c r="F138" s="20"/>
      <c r="G138" s="20"/>
      <c r="H138" s="20"/>
      <c r="I138" s="68"/>
      <c r="J138" s="7" t="s">
        <v>21</v>
      </c>
      <c r="K138" s="9"/>
      <c r="L138" s="9">
        <f>SUM(K126:K137)+SUM(M126:M137)+L122-N138</f>
        <v>112656.58636594203</v>
      </c>
      <c r="M138" s="10"/>
      <c r="N138" s="68">
        <f>MAX(O126:O137)</f>
        <v>0</v>
      </c>
      <c r="O138" s="73"/>
      <c r="P138" s="20"/>
      <c r="Q138" s="20"/>
      <c r="R138" s="20"/>
      <c r="S138" s="21"/>
    </row>
    <row r="139" spans="4:19">
      <c r="D139" s="19"/>
      <c r="E139" s="20"/>
      <c r="F139" s="20"/>
      <c r="G139" s="20"/>
      <c r="H139" s="20"/>
      <c r="I139" s="68"/>
      <c r="J139" s="20"/>
      <c r="K139" s="20"/>
      <c r="L139" s="20"/>
      <c r="M139" s="20"/>
      <c r="N139" s="20"/>
      <c r="O139" s="20"/>
      <c r="P139" s="20"/>
      <c r="Q139" s="20"/>
      <c r="R139" s="20"/>
      <c r="S139" s="21"/>
    </row>
    <row r="140" spans="4:19">
      <c r="D140" s="19"/>
      <c r="E140" s="20"/>
      <c r="F140" s="20"/>
      <c r="G140" s="20"/>
      <c r="H140" s="20"/>
      <c r="I140" s="68"/>
      <c r="J140" s="99" t="s">
        <v>25</v>
      </c>
      <c r="K140" s="100"/>
      <c r="L140" s="100"/>
      <c r="M140" s="101"/>
      <c r="N140" s="74"/>
      <c r="O140" s="84" t="s">
        <v>69</v>
      </c>
      <c r="P140" s="20"/>
      <c r="Q140" s="20"/>
      <c r="R140" s="20"/>
      <c r="S140" s="21"/>
    </row>
    <row r="141" spans="4:19">
      <c r="D141" s="19"/>
      <c r="E141" s="20"/>
      <c r="F141" s="20"/>
      <c r="G141" s="95" t="s">
        <v>81</v>
      </c>
      <c r="H141" s="70" t="s">
        <v>64</v>
      </c>
      <c r="I141" s="68"/>
      <c r="J141" s="1" t="s">
        <v>1</v>
      </c>
      <c r="K141" s="2" t="s">
        <v>14</v>
      </c>
      <c r="L141" s="2" t="s">
        <v>0</v>
      </c>
      <c r="M141" s="3" t="s">
        <v>15</v>
      </c>
      <c r="N141" s="3"/>
      <c r="O141" s="97" t="s">
        <v>68</v>
      </c>
      <c r="P141" s="68"/>
      <c r="Q141" s="68"/>
      <c r="R141" s="20"/>
      <c r="S141" s="21"/>
    </row>
    <row r="142" spans="4:19">
      <c r="D142" s="19"/>
      <c r="E142" s="20"/>
      <c r="F142" s="20"/>
      <c r="G142" s="34">
        <v>8.6999999999999994E-2</v>
      </c>
      <c r="H142" s="71" t="s">
        <v>65</v>
      </c>
      <c r="I142" s="68"/>
      <c r="J142" s="4" t="s">
        <v>2</v>
      </c>
      <c r="K142" s="32"/>
      <c r="L142" s="29">
        <f>$L$138+IF(H142="before 5th",K142,0)</f>
        <v>112656.58636594203</v>
      </c>
      <c r="M142" s="6">
        <f>L142*G142/12</f>
        <v>816.76025115307959</v>
      </c>
      <c r="N142" s="78">
        <f>IF(O142=MAX($O$142:$O$153),O142,IF(N141=MAX($O$142:$O$153),N141,0))</f>
        <v>0</v>
      </c>
      <c r="O142" s="98"/>
      <c r="P142" s="96"/>
      <c r="Q142" s="68"/>
      <c r="R142" s="20"/>
      <c r="S142" s="21"/>
    </row>
    <row r="143" spans="4:19">
      <c r="D143" s="19" t="str">
        <f>IF($M$9=0,"Withdrawal limit","")</f>
        <v>Withdrawal limit</v>
      </c>
      <c r="E143" s="20"/>
      <c r="F143" s="20">
        <f>IF($M$9=0,50%*MIN(L138,L90),"")</f>
        <v>43856.902923194612</v>
      </c>
      <c r="G143" s="34">
        <v>8.6999999999999994E-2</v>
      </c>
      <c r="H143" s="71" t="s">
        <v>65</v>
      </c>
      <c r="I143" s="68"/>
      <c r="J143" s="4" t="s">
        <v>3</v>
      </c>
      <c r="K143" s="32"/>
      <c r="L143" s="29">
        <f>SUM($K$142:K142)+$L$138+IF(H143="before 5th",K143,0)</f>
        <v>112656.58636594203</v>
      </c>
      <c r="M143" s="6">
        <f t="shared" ref="M143:M153" si="11">L143*G143/12</f>
        <v>816.76025115307959</v>
      </c>
      <c r="N143" s="78">
        <f t="shared" ref="N143:N153" si="12">IF(O143=MAX($O$142:$O$153),O143,IF(N142=MAX($O$142:$O$153),N142,0))</f>
        <v>0</v>
      </c>
      <c r="O143" s="82"/>
      <c r="P143" s="20" t="s">
        <v>40</v>
      </c>
      <c r="Q143" s="20"/>
      <c r="R143" s="20"/>
      <c r="S143" s="21"/>
    </row>
    <row r="144" spans="4:19">
      <c r="D144" s="19"/>
      <c r="E144" s="20"/>
      <c r="F144" s="20"/>
      <c r="G144" s="34">
        <v>8.6999999999999994E-2</v>
      </c>
      <c r="H144" s="71" t="s">
        <v>65</v>
      </c>
      <c r="I144" s="68"/>
      <c r="J144" s="4" t="s">
        <v>4</v>
      </c>
      <c r="K144" s="32"/>
      <c r="L144" s="29">
        <f>SUM($K$142:K143)+$L$138+IF(H144="before 5th",K144,0)</f>
        <v>112656.58636594203</v>
      </c>
      <c r="M144" s="6">
        <f t="shared" si="11"/>
        <v>816.76025115307959</v>
      </c>
      <c r="N144" s="78">
        <f t="shared" si="12"/>
        <v>0</v>
      </c>
      <c r="O144" s="82"/>
      <c r="P144" s="33">
        <v>150000</v>
      </c>
      <c r="Q144" s="20"/>
      <c r="R144" s="20"/>
      <c r="S144" s="21"/>
    </row>
    <row r="145" spans="4:19">
      <c r="D145" s="19"/>
      <c r="E145" s="20"/>
      <c r="F145" s="20"/>
      <c r="G145" s="34">
        <v>8.6999999999999994E-2</v>
      </c>
      <c r="H145" s="71" t="s">
        <v>65</v>
      </c>
      <c r="I145" s="68"/>
      <c r="J145" s="4" t="s">
        <v>5</v>
      </c>
      <c r="K145" s="32"/>
      <c r="L145" s="29">
        <f>SUM($K$142:K144)+$L$138+IF(H145="before 5th",K145,0)</f>
        <v>112656.58636594203</v>
      </c>
      <c r="M145" s="6">
        <f t="shared" si="11"/>
        <v>816.76025115307959</v>
      </c>
      <c r="N145" s="78">
        <f t="shared" si="12"/>
        <v>0</v>
      </c>
      <c r="O145" s="82"/>
      <c r="P145" s="41" t="str">
        <f>IF(SUM(K142:K153)&gt;P144,"Warning: total investment exceeds allowed limit","")</f>
        <v/>
      </c>
      <c r="Q145" s="49"/>
      <c r="R145" s="49"/>
      <c r="S145" s="50"/>
    </row>
    <row r="146" spans="4:19">
      <c r="D146" s="19"/>
      <c r="E146" s="20"/>
      <c r="F146" s="20"/>
      <c r="G146" s="34">
        <v>8.6999999999999994E-2</v>
      </c>
      <c r="H146" s="71" t="s">
        <v>65</v>
      </c>
      <c r="I146" s="68"/>
      <c r="J146" s="4" t="s">
        <v>6</v>
      </c>
      <c r="K146" s="32"/>
      <c r="L146" s="29">
        <f>SUM($K$142:K145)+$L$138+IF(H146="before 5th",K146,0)</f>
        <v>112656.58636594203</v>
      </c>
      <c r="M146" s="6">
        <f t="shared" si="11"/>
        <v>816.76025115307959</v>
      </c>
      <c r="N146" s="78">
        <f t="shared" si="12"/>
        <v>0</v>
      </c>
      <c r="O146" s="82"/>
      <c r="P146" s="20"/>
      <c r="Q146" s="20"/>
      <c r="R146" s="20"/>
      <c r="S146" s="21"/>
    </row>
    <row r="147" spans="4:19">
      <c r="D147" s="19"/>
      <c r="E147" s="20"/>
      <c r="F147" s="20"/>
      <c r="G147" s="34">
        <v>8.6999999999999994E-2</v>
      </c>
      <c r="H147" s="71" t="s">
        <v>65</v>
      </c>
      <c r="I147" s="68"/>
      <c r="J147" s="4" t="s">
        <v>7</v>
      </c>
      <c r="K147" s="32"/>
      <c r="L147" s="29">
        <f>SUM($K$142:K146)+$L$138+IF(H147="before 5th",K147,0)</f>
        <v>112656.58636594203</v>
      </c>
      <c r="M147" s="6">
        <f t="shared" si="11"/>
        <v>816.76025115307959</v>
      </c>
      <c r="N147" s="78">
        <f t="shared" si="12"/>
        <v>0</v>
      </c>
      <c r="O147" s="82"/>
      <c r="P147" s="79" t="str">
        <f>IF(N154&gt;F143,"Withdrawal is above limit","")</f>
        <v/>
      </c>
      <c r="Q147" s="75"/>
      <c r="R147" s="75"/>
      <c r="S147" s="80"/>
    </row>
    <row r="148" spans="4:19">
      <c r="D148" s="19"/>
      <c r="E148" s="20"/>
      <c r="F148" s="20"/>
      <c r="G148" s="34">
        <v>8.6999999999999994E-2</v>
      </c>
      <c r="H148" s="71" t="s">
        <v>65</v>
      </c>
      <c r="I148" s="68"/>
      <c r="J148" s="4" t="s">
        <v>8</v>
      </c>
      <c r="K148" s="32"/>
      <c r="L148" s="29">
        <f>SUM($K$142:K147)+$L$138+IF(H148="before 5th",K148,0)</f>
        <v>112656.58636594203</v>
      </c>
      <c r="M148" s="6">
        <f t="shared" si="11"/>
        <v>816.76025115307959</v>
      </c>
      <c r="N148" s="78">
        <f t="shared" si="12"/>
        <v>0</v>
      </c>
      <c r="O148" s="82"/>
      <c r="P148" s="20"/>
      <c r="Q148" s="20"/>
      <c r="R148" s="20"/>
      <c r="S148" s="21"/>
    </row>
    <row r="149" spans="4:19">
      <c r="D149" s="19"/>
      <c r="E149" s="20"/>
      <c r="F149" s="20"/>
      <c r="G149" s="34">
        <v>8.6999999999999994E-2</v>
      </c>
      <c r="H149" s="71" t="s">
        <v>65</v>
      </c>
      <c r="I149" s="68"/>
      <c r="J149" s="4" t="s">
        <v>9</v>
      </c>
      <c r="K149" s="32"/>
      <c r="L149" s="29">
        <f>SUM($K$142:K148)+$L$138+IF(H149="before 5th",K149,0)</f>
        <v>112656.58636594203</v>
      </c>
      <c r="M149" s="6">
        <f t="shared" si="11"/>
        <v>816.76025115307959</v>
      </c>
      <c r="N149" s="78">
        <f t="shared" si="12"/>
        <v>0</v>
      </c>
      <c r="O149" s="82"/>
      <c r="P149" s="20"/>
      <c r="Q149" s="20"/>
      <c r="R149" s="20"/>
      <c r="S149" s="21"/>
    </row>
    <row r="150" spans="4:19">
      <c r="D150" s="19"/>
      <c r="E150" s="20"/>
      <c r="F150" s="20"/>
      <c r="G150" s="34">
        <v>8.6999999999999994E-2</v>
      </c>
      <c r="H150" s="71" t="s">
        <v>65</v>
      </c>
      <c r="I150" s="68"/>
      <c r="J150" s="4" t="s">
        <v>10</v>
      </c>
      <c r="K150" s="32"/>
      <c r="L150" s="29">
        <f>SUM($K$142:K149)+$L$138+IF(H150="before 5th",K150,0)</f>
        <v>112656.58636594203</v>
      </c>
      <c r="M150" s="6">
        <f t="shared" si="11"/>
        <v>816.76025115307959</v>
      </c>
      <c r="N150" s="78">
        <f t="shared" si="12"/>
        <v>0</v>
      </c>
      <c r="O150" s="82"/>
      <c r="P150" s="20"/>
      <c r="Q150" s="20"/>
      <c r="R150" s="20"/>
      <c r="S150" s="21"/>
    </row>
    <row r="151" spans="4:19">
      <c r="D151" s="19"/>
      <c r="E151" s="20"/>
      <c r="F151" s="20"/>
      <c r="G151" s="34">
        <v>8.6999999999999994E-2</v>
      </c>
      <c r="H151" s="71" t="s">
        <v>65</v>
      </c>
      <c r="I151" s="68"/>
      <c r="J151" s="4" t="s">
        <v>11</v>
      </c>
      <c r="K151" s="32"/>
      <c r="L151" s="29">
        <f>SUM($K$142:K150)+$L$138+IF(H151="before 5th",K151,0)</f>
        <v>112656.58636594203</v>
      </c>
      <c r="M151" s="6">
        <f t="shared" si="11"/>
        <v>816.76025115307959</v>
      </c>
      <c r="N151" s="78">
        <f t="shared" si="12"/>
        <v>0</v>
      </c>
      <c r="O151" s="82"/>
      <c r="P151" s="68"/>
      <c r="Q151" s="68"/>
      <c r="R151" s="20"/>
      <c r="S151" s="21"/>
    </row>
    <row r="152" spans="4:19">
      <c r="D152" s="19"/>
      <c r="E152" s="20"/>
      <c r="F152" s="20"/>
      <c r="G152" s="34">
        <v>8.6999999999999994E-2</v>
      </c>
      <c r="H152" s="71" t="s">
        <v>65</v>
      </c>
      <c r="I152" s="68"/>
      <c r="J152" s="4" t="s">
        <v>12</v>
      </c>
      <c r="K152" s="32"/>
      <c r="L152" s="29">
        <f>SUM($K$142:K151)+$L$138+IF(H152="before 5th",K152,0)</f>
        <v>112656.58636594203</v>
      </c>
      <c r="M152" s="6">
        <f t="shared" si="11"/>
        <v>816.76025115307959</v>
      </c>
      <c r="N152" s="78">
        <f t="shared" si="12"/>
        <v>0</v>
      </c>
      <c r="O152" s="82"/>
      <c r="P152" s="68"/>
      <c r="Q152" s="68"/>
      <c r="R152" s="20"/>
      <c r="S152" s="21"/>
    </row>
    <row r="153" spans="4:19">
      <c r="D153" s="19"/>
      <c r="E153" s="20"/>
      <c r="F153" s="20"/>
      <c r="G153" s="34">
        <v>8.6999999999999994E-2</v>
      </c>
      <c r="H153" s="71" t="s">
        <v>65</v>
      </c>
      <c r="I153" s="68"/>
      <c r="J153" s="4" t="s">
        <v>13</v>
      </c>
      <c r="K153" s="32"/>
      <c r="L153" s="29">
        <f>SUM($K$142:K152)+$L$138+IF(H153="before 5th",K153,0)</f>
        <v>112656.58636594203</v>
      </c>
      <c r="M153" s="6">
        <f t="shared" si="11"/>
        <v>816.76025115307959</v>
      </c>
      <c r="N153" s="78">
        <f t="shared" si="12"/>
        <v>0</v>
      </c>
      <c r="O153" s="82"/>
      <c r="P153" s="68"/>
      <c r="Q153" s="68"/>
      <c r="R153" s="20"/>
      <c r="S153" s="21"/>
    </row>
    <row r="154" spans="4:19">
      <c r="D154" s="19"/>
      <c r="E154" s="20"/>
      <c r="F154" s="20"/>
      <c r="G154" s="20"/>
      <c r="H154" s="20"/>
      <c r="I154" s="68"/>
      <c r="J154" s="7" t="s">
        <v>21</v>
      </c>
      <c r="K154" s="9"/>
      <c r="L154" s="9">
        <f>SUM(K142:K153)+SUM(M142:M153)+L138-N154</f>
        <v>122457.70937977899</v>
      </c>
      <c r="M154" s="10"/>
      <c r="N154" s="68">
        <f>MAX(O142:O153)</f>
        <v>0</v>
      </c>
      <c r="O154" s="73"/>
      <c r="P154" s="20"/>
      <c r="Q154" s="20"/>
      <c r="R154" s="20"/>
      <c r="S154" s="21"/>
    </row>
    <row r="155" spans="4:19">
      <c r="D155" s="19"/>
      <c r="E155" s="20"/>
      <c r="F155" s="20"/>
      <c r="G155" s="20"/>
      <c r="H155" s="20"/>
      <c r="I155" s="68"/>
      <c r="J155" s="20"/>
      <c r="K155" s="20"/>
      <c r="L155" s="20"/>
      <c r="M155" s="20"/>
      <c r="N155" s="20"/>
      <c r="O155" s="20"/>
      <c r="P155" s="20"/>
      <c r="Q155" s="20"/>
      <c r="R155" s="20"/>
      <c r="S155" s="21"/>
    </row>
    <row r="156" spans="4:19">
      <c r="D156" s="19"/>
      <c r="E156" s="20"/>
      <c r="F156" s="20"/>
      <c r="G156" s="20"/>
      <c r="H156" s="20"/>
      <c r="I156" s="68"/>
      <c r="J156" s="99" t="s">
        <v>26</v>
      </c>
      <c r="K156" s="100"/>
      <c r="L156" s="100"/>
      <c r="M156" s="101"/>
      <c r="N156" s="74"/>
      <c r="O156" s="84" t="s">
        <v>69</v>
      </c>
      <c r="P156" s="20"/>
      <c r="Q156" s="20"/>
      <c r="R156" s="20"/>
      <c r="S156" s="21"/>
    </row>
    <row r="157" spans="4:19">
      <c r="D157" s="19"/>
      <c r="E157" s="20"/>
      <c r="F157" s="20"/>
      <c r="G157" s="95" t="s">
        <v>81</v>
      </c>
      <c r="H157" s="70" t="s">
        <v>64</v>
      </c>
      <c r="I157" s="68"/>
      <c r="J157" s="1" t="s">
        <v>1</v>
      </c>
      <c r="K157" s="2" t="s">
        <v>14</v>
      </c>
      <c r="L157" s="2" t="s">
        <v>0</v>
      </c>
      <c r="M157" s="3" t="s">
        <v>15</v>
      </c>
      <c r="N157" s="3"/>
      <c r="O157" s="97" t="s">
        <v>68</v>
      </c>
      <c r="P157" s="68"/>
      <c r="Q157" s="68"/>
      <c r="R157" s="20"/>
      <c r="S157" s="21"/>
    </row>
    <row r="158" spans="4:19">
      <c r="D158" s="19"/>
      <c r="E158" s="20"/>
      <c r="F158" s="20"/>
      <c r="G158" s="34">
        <v>8.6999999999999994E-2</v>
      </c>
      <c r="H158" s="71" t="s">
        <v>65</v>
      </c>
      <c r="I158" s="68"/>
      <c r="J158" s="4" t="s">
        <v>2</v>
      </c>
      <c r="K158" s="32"/>
      <c r="L158" s="29">
        <f>$L$154+IF(H158="before 5th",K158,0)</f>
        <v>122457.70937977899</v>
      </c>
      <c r="M158" s="6">
        <f>L158*G158/12</f>
        <v>887.81839300339755</v>
      </c>
      <c r="N158" s="78">
        <f>IF(O158=MAX($O$158:$O$169),O158,IF(N157=MAX($O$158:$O$169),N157,0))</f>
        <v>0</v>
      </c>
      <c r="O158" s="98"/>
      <c r="P158" s="96"/>
      <c r="Q158" s="68"/>
      <c r="R158" s="20"/>
      <c r="S158" s="21"/>
    </row>
    <row r="159" spans="4:19">
      <c r="D159" s="19" t="str">
        <f>IF($M$9=0,"Withdrawal limit","")</f>
        <v>Withdrawal limit</v>
      </c>
      <c r="E159" s="20"/>
      <c r="F159" s="20">
        <f>IF($M$9=0,50%*MIN(L154,L106),"")</f>
        <v>47672.453477512543</v>
      </c>
      <c r="G159" s="34">
        <v>8.6999999999999994E-2</v>
      </c>
      <c r="H159" s="71" t="s">
        <v>65</v>
      </c>
      <c r="I159" s="68"/>
      <c r="J159" s="4" t="s">
        <v>3</v>
      </c>
      <c r="K159" s="32"/>
      <c r="L159" s="29">
        <f>SUM($K$158:K158)+$L$154+IF(H159="before 5th",K159,0)</f>
        <v>122457.70937977899</v>
      </c>
      <c r="M159" s="6">
        <f t="shared" ref="M159:M169" si="13">L159*G159/12</f>
        <v>887.81839300339755</v>
      </c>
      <c r="N159" s="78">
        <f t="shared" ref="N159:N169" si="14">IF(O159=MAX($O$158:$O$169),O159,IF(N158=MAX($O$158:$O$169),N158,0))</f>
        <v>0</v>
      </c>
      <c r="O159" s="82"/>
      <c r="P159" s="20" t="s">
        <v>40</v>
      </c>
      <c r="Q159" s="20"/>
      <c r="R159" s="20"/>
      <c r="S159" s="21"/>
    </row>
    <row r="160" spans="4:19">
      <c r="D160" s="19"/>
      <c r="E160" s="20"/>
      <c r="F160" s="20"/>
      <c r="G160" s="34">
        <v>8.6999999999999994E-2</v>
      </c>
      <c r="H160" s="71" t="s">
        <v>65</v>
      </c>
      <c r="I160" s="68"/>
      <c r="J160" s="4" t="s">
        <v>4</v>
      </c>
      <c r="K160" s="32"/>
      <c r="L160" s="29">
        <f>SUM($K$158:K159)+$L$154+IF(H160="before 5th",K160,0)</f>
        <v>122457.70937977899</v>
      </c>
      <c r="M160" s="6">
        <f t="shared" si="13"/>
        <v>887.81839300339755</v>
      </c>
      <c r="N160" s="78">
        <f t="shared" si="14"/>
        <v>0</v>
      </c>
      <c r="O160" s="82"/>
      <c r="P160" s="33">
        <v>150000</v>
      </c>
      <c r="Q160" s="20"/>
      <c r="R160" s="20"/>
      <c r="S160" s="21"/>
    </row>
    <row r="161" spans="4:19">
      <c r="D161" s="19"/>
      <c r="E161" s="20"/>
      <c r="F161" s="20"/>
      <c r="G161" s="34">
        <v>8.6999999999999994E-2</v>
      </c>
      <c r="H161" s="71" t="s">
        <v>65</v>
      </c>
      <c r="I161" s="68"/>
      <c r="J161" s="4" t="s">
        <v>5</v>
      </c>
      <c r="K161" s="32"/>
      <c r="L161" s="29">
        <f>SUM($K$158:K160)+$L$154+IF(H161="before 5th",K161,0)</f>
        <v>122457.70937977899</v>
      </c>
      <c r="M161" s="6">
        <f t="shared" si="13"/>
        <v>887.81839300339755</v>
      </c>
      <c r="N161" s="78">
        <f t="shared" si="14"/>
        <v>0</v>
      </c>
      <c r="O161" s="82"/>
      <c r="P161" s="41" t="str">
        <f>IF(SUM(K158:K169)&gt;P160,"Warning: total investment exceeds allowed limit","")</f>
        <v/>
      </c>
      <c r="Q161" s="49"/>
      <c r="R161" s="49"/>
      <c r="S161" s="50"/>
    </row>
    <row r="162" spans="4:19">
      <c r="D162" s="19"/>
      <c r="E162" s="20"/>
      <c r="F162" s="20"/>
      <c r="G162" s="34">
        <v>8.6999999999999994E-2</v>
      </c>
      <c r="H162" s="71" t="s">
        <v>65</v>
      </c>
      <c r="I162" s="68"/>
      <c r="J162" s="4" t="s">
        <v>6</v>
      </c>
      <c r="K162" s="32"/>
      <c r="L162" s="29">
        <f>SUM($K$158:K161)+$L$154+IF(H162="before 5th",K162,0)</f>
        <v>122457.70937977899</v>
      </c>
      <c r="M162" s="6">
        <f t="shared" si="13"/>
        <v>887.81839300339755</v>
      </c>
      <c r="N162" s="78">
        <f t="shared" si="14"/>
        <v>0</v>
      </c>
      <c r="O162" s="82"/>
      <c r="P162" s="20"/>
      <c r="Q162" s="20"/>
      <c r="R162" s="20"/>
      <c r="S162" s="21"/>
    </row>
    <row r="163" spans="4:19">
      <c r="D163" s="19"/>
      <c r="E163" s="20"/>
      <c r="F163" s="20"/>
      <c r="G163" s="34">
        <v>8.6999999999999994E-2</v>
      </c>
      <c r="H163" s="71" t="s">
        <v>65</v>
      </c>
      <c r="I163" s="68"/>
      <c r="J163" s="4" t="s">
        <v>7</v>
      </c>
      <c r="K163" s="32"/>
      <c r="L163" s="29">
        <f>SUM($K$158:K162)+$L$154+IF(H163="before 5th",K163,0)</f>
        <v>122457.70937977899</v>
      </c>
      <c r="M163" s="6">
        <f t="shared" si="13"/>
        <v>887.81839300339755</v>
      </c>
      <c r="N163" s="78">
        <f t="shared" si="14"/>
        <v>0</v>
      </c>
      <c r="O163" s="82"/>
      <c r="P163" s="79" t="str">
        <f>IF(N170&gt;F159,"Withdrawal is above limit","")</f>
        <v/>
      </c>
      <c r="Q163" s="75"/>
      <c r="R163" s="75"/>
      <c r="S163" s="80"/>
    </row>
    <row r="164" spans="4:19">
      <c r="D164" s="19"/>
      <c r="E164" s="20"/>
      <c r="F164" s="20"/>
      <c r="G164" s="34">
        <v>8.6999999999999994E-2</v>
      </c>
      <c r="H164" s="71" t="s">
        <v>65</v>
      </c>
      <c r="I164" s="68"/>
      <c r="J164" s="4" t="s">
        <v>8</v>
      </c>
      <c r="K164" s="32"/>
      <c r="L164" s="29">
        <f>SUM($K$158:K163)+$L$154+IF(H164="before 5th",K164,0)</f>
        <v>122457.70937977899</v>
      </c>
      <c r="M164" s="6">
        <f t="shared" si="13"/>
        <v>887.81839300339755</v>
      </c>
      <c r="N164" s="78">
        <f t="shared" si="14"/>
        <v>0</v>
      </c>
      <c r="O164" s="82"/>
      <c r="P164" s="20"/>
      <c r="Q164" s="20"/>
      <c r="R164" s="20"/>
      <c r="S164" s="21"/>
    </row>
    <row r="165" spans="4:19">
      <c r="D165" s="19"/>
      <c r="E165" s="20"/>
      <c r="F165" s="20"/>
      <c r="G165" s="34">
        <v>8.6999999999999994E-2</v>
      </c>
      <c r="H165" s="71" t="s">
        <v>65</v>
      </c>
      <c r="I165" s="68"/>
      <c r="J165" s="4" t="s">
        <v>9</v>
      </c>
      <c r="K165" s="32"/>
      <c r="L165" s="29">
        <f>SUM($K$158:K164)+$L$154+IF(H165="before 5th",K165,0)</f>
        <v>122457.70937977899</v>
      </c>
      <c r="M165" s="6">
        <f t="shared" si="13"/>
        <v>887.81839300339755</v>
      </c>
      <c r="N165" s="78">
        <f t="shared" si="14"/>
        <v>0</v>
      </c>
      <c r="O165" s="82"/>
      <c r="P165" s="20"/>
      <c r="Q165" s="20"/>
      <c r="R165" s="20"/>
      <c r="S165" s="21"/>
    </row>
    <row r="166" spans="4:19">
      <c r="D166" s="19"/>
      <c r="E166" s="20"/>
      <c r="F166" s="20"/>
      <c r="G166" s="34">
        <v>8.6999999999999994E-2</v>
      </c>
      <c r="H166" s="71" t="s">
        <v>65</v>
      </c>
      <c r="I166" s="68"/>
      <c r="J166" s="4" t="s">
        <v>10</v>
      </c>
      <c r="K166" s="32"/>
      <c r="L166" s="29">
        <f>SUM($K$158:K165)+$L$154+IF(H166="before 5th",K166,0)</f>
        <v>122457.70937977899</v>
      </c>
      <c r="M166" s="6">
        <f t="shared" si="13"/>
        <v>887.81839300339755</v>
      </c>
      <c r="N166" s="78">
        <f t="shared" si="14"/>
        <v>0</v>
      </c>
      <c r="O166" s="82"/>
      <c r="P166" s="20"/>
      <c r="Q166" s="20"/>
      <c r="R166" s="20"/>
      <c r="S166" s="21"/>
    </row>
    <row r="167" spans="4:19">
      <c r="D167" s="19"/>
      <c r="E167" s="20"/>
      <c r="F167" s="20"/>
      <c r="G167" s="34">
        <v>8.6999999999999994E-2</v>
      </c>
      <c r="H167" s="71" t="s">
        <v>65</v>
      </c>
      <c r="I167" s="68"/>
      <c r="J167" s="4" t="s">
        <v>11</v>
      </c>
      <c r="K167" s="32"/>
      <c r="L167" s="29">
        <f>SUM($K$158:K166)+$L$154+IF(H167="before 5th",K167,0)</f>
        <v>122457.70937977899</v>
      </c>
      <c r="M167" s="6">
        <f t="shared" si="13"/>
        <v>887.81839300339755</v>
      </c>
      <c r="N167" s="78">
        <f t="shared" si="14"/>
        <v>0</v>
      </c>
      <c r="O167" s="82"/>
      <c r="P167" s="68"/>
      <c r="Q167" s="68"/>
      <c r="R167" s="20"/>
      <c r="S167" s="21"/>
    </row>
    <row r="168" spans="4:19">
      <c r="D168" s="19"/>
      <c r="E168" s="20"/>
      <c r="F168" s="20"/>
      <c r="G168" s="34">
        <v>8.6999999999999994E-2</v>
      </c>
      <c r="H168" s="71" t="s">
        <v>65</v>
      </c>
      <c r="I168" s="68"/>
      <c r="J168" s="4" t="s">
        <v>12</v>
      </c>
      <c r="K168" s="32"/>
      <c r="L168" s="29">
        <f>SUM($K$158:K167)+$L$154+IF(H168="before 5th",K168,0)</f>
        <v>122457.70937977899</v>
      </c>
      <c r="M168" s="6">
        <f t="shared" si="13"/>
        <v>887.81839300339755</v>
      </c>
      <c r="N168" s="78">
        <f t="shared" si="14"/>
        <v>0</v>
      </c>
      <c r="O168" s="82"/>
      <c r="P168" s="68"/>
      <c r="Q168" s="68"/>
      <c r="R168" s="20"/>
      <c r="S168" s="21"/>
    </row>
    <row r="169" spans="4:19">
      <c r="D169" s="19"/>
      <c r="E169" s="20"/>
      <c r="F169" s="20"/>
      <c r="G169" s="34">
        <v>8.6999999999999994E-2</v>
      </c>
      <c r="H169" s="71" t="s">
        <v>65</v>
      </c>
      <c r="I169" s="68"/>
      <c r="J169" s="4" t="s">
        <v>13</v>
      </c>
      <c r="K169" s="32"/>
      <c r="L169" s="29">
        <f>SUM($K$158:K168)+$L$154+IF(H169="before 5th",K169,0)</f>
        <v>122457.70937977899</v>
      </c>
      <c r="M169" s="6">
        <f t="shared" si="13"/>
        <v>887.81839300339755</v>
      </c>
      <c r="N169" s="78">
        <f t="shared" si="14"/>
        <v>0</v>
      </c>
      <c r="O169" s="82"/>
      <c r="P169" s="68"/>
      <c r="Q169" s="68"/>
      <c r="R169" s="20"/>
      <c r="S169" s="21"/>
    </row>
    <row r="170" spans="4:19">
      <c r="D170" s="19"/>
      <c r="E170" s="20"/>
      <c r="F170" s="20"/>
      <c r="G170" s="20"/>
      <c r="H170" s="20"/>
      <c r="I170" s="68"/>
      <c r="J170" s="7" t="s">
        <v>21</v>
      </c>
      <c r="K170" s="9"/>
      <c r="L170" s="9">
        <f>SUM(K158:K169)+SUM(M158:M169)+L154-N170</f>
        <v>133111.53009581976</v>
      </c>
      <c r="M170" s="10"/>
      <c r="N170" s="68">
        <f>MAX(O158:O169)</f>
        <v>0</v>
      </c>
      <c r="O170" s="73"/>
      <c r="P170" s="20"/>
      <c r="Q170" s="20"/>
      <c r="R170" s="20"/>
      <c r="S170" s="21"/>
    </row>
    <row r="171" spans="4:19">
      <c r="D171" s="19"/>
      <c r="E171" s="20"/>
      <c r="F171" s="20"/>
      <c r="G171" s="20"/>
      <c r="H171" s="20"/>
      <c r="I171" s="68"/>
      <c r="J171" s="20"/>
      <c r="K171" s="20"/>
      <c r="L171" s="20"/>
      <c r="M171" s="20"/>
      <c r="N171" s="20"/>
      <c r="O171" s="20"/>
      <c r="P171" s="20"/>
      <c r="Q171" s="20"/>
      <c r="R171" s="20"/>
      <c r="S171" s="21"/>
    </row>
    <row r="172" spans="4:19">
      <c r="D172" s="19"/>
      <c r="E172" s="20"/>
      <c r="F172" s="20"/>
      <c r="G172" s="20"/>
      <c r="H172" s="20"/>
      <c r="I172" s="68"/>
      <c r="J172" s="99" t="s">
        <v>27</v>
      </c>
      <c r="K172" s="100"/>
      <c r="L172" s="100"/>
      <c r="M172" s="101"/>
      <c r="N172" s="74"/>
      <c r="O172" s="84" t="s">
        <v>69</v>
      </c>
      <c r="P172" s="20"/>
      <c r="Q172" s="20"/>
      <c r="R172" s="20"/>
      <c r="S172" s="21"/>
    </row>
    <row r="173" spans="4:19">
      <c r="D173" s="19"/>
      <c r="E173" s="20"/>
      <c r="F173" s="20"/>
      <c r="G173" s="95" t="s">
        <v>81</v>
      </c>
      <c r="H173" s="70" t="s">
        <v>64</v>
      </c>
      <c r="I173" s="68"/>
      <c r="J173" s="1" t="s">
        <v>1</v>
      </c>
      <c r="K173" s="2" t="s">
        <v>14</v>
      </c>
      <c r="L173" s="2" t="s">
        <v>0</v>
      </c>
      <c r="M173" s="3" t="s">
        <v>15</v>
      </c>
      <c r="N173" s="3"/>
      <c r="O173" s="97" t="s">
        <v>68</v>
      </c>
      <c r="P173" s="68"/>
      <c r="Q173" s="68"/>
      <c r="R173" s="20"/>
      <c r="S173" s="21"/>
    </row>
    <row r="174" spans="4:19">
      <c r="D174" s="19"/>
      <c r="E174" s="20"/>
      <c r="F174" s="20"/>
      <c r="G174" s="34">
        <v>8.6999999999999994E-2</v>
      </c>
      <c r="H174" s="71" t="s">
        <v>65</v>
      </c>
      <c r="I174" s="68"/>
      <c r="J174" s="4" t="s">
        <v>2</v>
      </c>
      <c r="K174" s="32"/>
      <c r="L174" s="29">
        <f>$L$170+IF(H174="before 5th",K174,0)</f>
        <v>133111.53009581976</v>
      </c>
      <c r="M174" s="6">
        <f>L174*G174/12</f>
        <v>965.05859319469312</v>
      </c>
      <c r="N174" s="78">
        <f>IF(O174=MAX($O$174:$O$185),O174,IF(N173=MAX($O$174:$O$185),N173,0))</f>
        <v>0</v>
      </c>
      <c r="O174" s="98"/>
      <c r="P174" s="96"/>
      <c r="Q174" s="68"/>
      <c r="R174" s="20"/>
      <c r="S174" s="21"/>
    </row>
    <row r="175" spans="4:19">
      <c r="D175" s="19" t="str">
        <f>IF($M$9=0,"Withdrawal limit","")</f>
        <v>Withdrawal limit</v>
      </c>
      <c r="E175" s="20"/>
      <c r="F175" s="20">
        <f>IF($M$9=0,50%*MIN(L170,L122),"")</f>
        <v>51819.956930056134</v>
      </c>
      <c r="G175" s="34">
        <v>8.6999999999999994E-2</v>
      </c>
      <c r="H175" s="71" t="s">
        <v>65</v>
      </c>
      <c r="I175" s="68"/>
      <c r="J175" s="4" t="s">
        <v>3</v>
      </c>
      <c r="K175" s="32"/>
      <c r="L175" s="29">
        <f>SUM($K$174:K174)+$L$170+IF(H175="before 5th",K175,0)</f>
        <v>133111.53009581976</v>
      </c>
      <c r="M175" s="6">
        <f t="shared" ref="M175:M185" si="15">L175*G175/12</f>
        <v>965.05859319469312</v>
      </c>
      <c r="N175" s="78">
        <f t="shared" ref="N175:N185" si="16">IF(O175=MAX($O$174:$O$185),O175,IF(N174=MAX($O$174:$O$185),N174,0))</f>
        <v>0</v>
      </c>
      <c r="O175" s="82"/>
      <c r="P175" s="20" t="s">
        <v>40</v>
      </c>
      <c r="Q175" s="20"/>
      <c r="R175" s="20"/>
      <c r="S175" s="21"/>
    </row>
    <row r="176" spans="4:19">
      <c r="D176" s="19"/>
      <c r="E176" s="20"/>
      <c r="F176" s="20"/>
      <c r="G176" s="34">
        <v>8.6999999999999994E-2</v>
      </c>
      <c r="H176" s="71" t="s">
        <v>65</v>
      </c>
      <c r="I176" s="68"/>
      <c r="J176" s="4" t="s">
        <v>4</v>
      </c>
      <c r="K176" s="32"/>
      <c r="L176" s="29">
        <f>SUM($K$174:K175)+$L$170+IF(H176="before 5th",K176,0)</f>
        <v>133111.53009581976</v>
      </c>
      <c r="M176" s="6">
        <f t="shared" si="15"/>
        <v>965.05859319469312</v>
      </c>
      <c r="N176" s="78">
        <f t="shared" si="16"/>
        <v>0</v>
      </c>
      <c r="O176" s="82"/>
      <c r="P176" s="33">
        <v>150000</v>
      </c>
      <c r="Q176" s="20"/>
      <c r="R176" s="20"/>
      <c r="S176" s="21"/>
    </row>
    <row r="177" spans="4:19">
      <c r="D177" s="19"/>
      <c r="E177" s="20"/>
      <c r="F177" s="20"/>
      <c r="G177" s="34">
        <v>8.6999999999999994E-2</v>
      </c>
      <c r="H177" s="71" t="s">
        <v>65</v>
      </c>
      <c r="I177" s="68"/>
      <c r="J177" s="4" t="s">
        <v>5</v>
      </c>
      <c r="K177" s="32"/>
      <c r="L177" s="29">
        <f>SUM($K$174:K176)+$L$170+IF(H177="before 5th",K177,0)</f>
        <v>133111.53009581976</v>
      </c>
      <c r="M177" s="6">
        <f t="shared" si="15"/>
        <v>965.05859319469312</v>
      </c>
      <c r="N177" s="78">
        <f t="shared" si="16"/>
        <v>0</v>
      </c>
      <c r="O177" s="82"/>
      <c r="P177" s="41" t="str">
        <f>IF(SUM(K174:K185)&gt;P176,"Warning: total investment exceeds allowed limit","")</f>
        <v/>
      </c>
      <c r="Q177" s="49"/>
      <c r="R177" s="49"/>
      <c r="S177" s="50"/>
    </row>
    <row r="178" spans="4:19">
      <c r="D178" s="19"/>
      <c r="E178" s="20"/>
      <c r="F178" s="20"/>
      <c r="G178" s="34">
        <v>8.6999999999999994E-2</v>
      </c>
      <c r="H178" s="71" t="s">
        <v>65</v>
      </c>
      <c r="I178" s="68"/>
      <c r="J178" s="4" t="s">
        <v>6</v>
      </c>
      <c r="K178" s="32"/>
      <c r="L178" s="29">
        <f>SUM($K$174:K177)+$L$170+IF(H178="before 5th",K178,0)</f>
        <v>133111.53009581976</v>
      </c>
      <c r="M178" s="6">
        <f t="shared" si="15"/>
        <v>965.05859319469312</v>
      </c>
      <c r="N178" s="78">
        <f t="shared" si="16"/>
        <v>0</v>
      </c>
      <c r="O178" s="82"/>
      <c r="P178" s="20"/>
      <c r="Q178" s="20"/>
      <c r="R178" s="20"/>
      <c r="S178" s="21"/>
    </row>
    <row r="179" spans="4:19">
      <c r="D179" s="19"/>
      <c r="E179" s="20"/>
      <c r="F179" s="20"/>
      <c r="G179" s="34">
        <v>8.6999999999999994E-2</v>
      </c>
      <c r="H179" s="71" t="s">
        <v>65</v>
      </c>
      <c r="I179" s="68"/>
      <c r="J179" s="4" t="s">
        <v>7</v>
      </c>
      <c r="K179" s="32"/>
      <c r="L179" s="29">
        <f>SUM($K$174:K178)+$L$170+IF(H179="before 5th",K179,0)</f>
        <v>133111.53009581976</v>
      </c>
      <c r="M179" s="6">
        <f t="shared" si="15"/>
        <v>965.05859319469312</v>
      </c>
      <c r="N179" s="78">
        <f t="shared" si="16"/>
        <v>0</v>
      </c>
      <c r="O179" s="82"/>
      <c r="P179" s="79" t="str">
        <f>IF(N186&gt;F175,"Withdrawal is above limit","")</f>
        <v/>
      </c>
      <c r="Q179" s="75"/>
      <c r="R179" s="75"/>
      <c r="S179" s="80"/>
    </row>
    <row r="180" spans="4:19">
      <c r="D180" s="19"/>
      <c r="E180" s="20"/>
      <c r="F180" s="20"/>
      <c r="G180" s="34">
        <v>8.6999999999999994E-2</v>
      </c>
      <c r="H180" s="71" t="s">
        <v>65</v>
      </c>
      <c r="I180" s="68"/>
      <c r="J180" s="4" t="s">
        <v>8</v>
      </c>
      <c r="K180" s="32"/>
      <c r="L180" s="29">
        <f>SUM($K$174:K179)+$L$170+IF(H180="before 5th",K180,0)</f>
        <v>133111.53009581976</v>
      </c>
      <c r="M180" s="6">
        <f t="shared" si="15"/>
        <v>965.05859319469312</v>
      </c>
      <c r="N180" s="78">
        <f t="shared" si="16"/>
        <v>0</v>
      </c>
      <c r="O180" s="82"/>
      <c r="P180" s="20"/>
      <c r="Q180" s="20"/>
      <c r="R180" s="20"/>
      <c r="S180" s="21"/>
    </row>
    <row r="181" spans="4:19">
      <c r="D181" s="19"/>
      <c r="E181" s="20"/>
      <c r="F181" s="20"/>
      <c r="G181" s="34">
        <v>8.6999999999999994E-2</v>
      </c>
      <c r="H181" s="71" t="s">
        <v>65</v>
      </c>
      <c r="I181" s="68"/>
      <c r="J181" s="4" t="s">
        <v>9</v>
      </c>
      <c r="K181" s="32"/>
      <c r="L181" s="29">
        <f>SUM($K$174:K180)+$L$170+IF(H181="before 5th",K181,0)</f>
        <v>133111.53009581976</v>
      </c>
      <c r="M181" s="6">
        <f t="shared" si="15"/>
        <v>965.05859319469312</v>
      </c>
      <c r="N181" s="78">
        <f t="shared" si="16"/>
        <v>0</v>
      </c>
      <c r="O181" s="82"/>
      <c r="P181" s="20"/>
      <c r="Q181" s="20"/>
      <c r="R181" s="20"/>
      <c r="S181" s="21"/>
    </row>
    <row r="182" spans="4:19">
      <c r="D182" s="19"/>
      <c r="E182" s="20"/>
      <c r="F182" s="20"/>
      <c r="G182" s="34">
        <v>8.6999999999999994E-2</v>
      </c>
      <c r="H182" s="71" t="s">
        <v>65</v>
      </c>
      <c r="I182" s="68"/>
      <c r="J182" s="4" t="s">
        <v>10</v>
      </c>
      <c r="K182" s="32"/>
      <c r="L182" s="29">
        <f>SUM($K$174:K181)+$L$170+IF(H182="before 5th",K182,0)</f>
        <v>133111.53009581976</v>
      </c>
      <c r="M182" s="6">
        <f t="shared" si="15"/>
        <v>965.05859319469312</v>
      </c>
      <c r="N182" s="78">
        <f t="shared" si="16"/>
        <v>0</v>
      </c>
      <c r="O182" s="82"/>
      <c r="P182" s="20"/>
      <c r="Q182" s="20"/>
      <c r="R182" s="20"/>
      <c r="S182" s="21"/>
    </row>
    <row r="183" spans="4:19">
      <c r="D183" s="19"/>
      <c r="E183" s="20"/>
      <c r="F183" s="20"/>
      <c r="G183" s="34">
        <v>8.6999999999999994E-2</v>
      </c>
      <c r="H183" s="71" t="s">
        <v>65</v>
      </c>
      <c r="I183" s="68"/>
      <c r="J183" s="4" t="s">
        <v>11</v>
      </c>
      <c r="K183" s="32"/>
      <c r="L183" s="29">
        <f>SUM($K$174:K182)+$L$170+IF(H183="before 5th",K183,0)</f>
        <v>133111.53009581976</v>
      </c>
      <c r="M183" s="6">
        <f t="shared" si="15"/>
        <v>965.05859319469312</v>
      </c>
      <c r="N183" s="78">
        <f t="shared" si="16"/>
        <v>0</v>
      </c>
      <c r="O183" s="82"/>
      <c r="P183" s="68"/>
      <c r="Q183" s="68"/>
      <c r="R183" s="20"/>
      <c r="S183" s="21"/>
    </row>
    <row r="184" spans="4:19">
      <c r="D184" s="19"/>
      <c r="E184" s="20"/>
      <c r="F184" s="20"/>
      <c r="G184" s="34">
        <v>8.6999999999999994E-2</v>
      </c>
      <c r="H184" s="71" t="s">
        <v>65</v>
      </c>
      <c r="I184" s="68"/>
      <c r="J184" s="4" t="s">
        <v>12</v>
      </c>
      <c r="K184" s="32"/>
      <c r="L184" s="29">
        <f>SUM($K$174:K183)+$L$170+IF(H184="before 5th",K184,0)</f>
        <v>133111.53009581976</v>
      </c>
      <c r="M184" s="6">
        <f t="shared" si="15"/>
        <v>965.05859319469312</v>
      </c>
      <c r="N184" s="78">
        <f t="shared" si="16"/>
        <v>0</v>
      </c>
      <c r="O184" s="82"/>
      <c r="P184" s="68"/>
      <c r="Q184" s="68"/>
      <c r="R184" s="20"/>
      <c r="S184" s="21"/>
    </row>
    <row r="185" spans="4:19">
      <c r="D185" s="19"/>
      <c r="E185" s="20"/>
      <c r="F185" s="20"/>
      <c r="G185" s="34">
        <v>8.6999999999999994E-2</v>
      </c>
      <c r="H185" s="71" t="s">
        <v>65</v>
      </c>
      <c r="I185" s="68"/>
      <c r="J185" s="4" t="s">
        <v>13</v>
      </c>
      <c r="K185" s="32"/>
      <c r="L185" s="29">
        <f>SUM($K$174:K184)+$L$170+IF(H185="before 5th",K185,0)</f>
        <v>133111.53009581976</v>
      </c>
      <c r="M185" s="6">
        <f t="shared" si="15"/>
        <v>965.05859319469312</v>
      </c>
      <c r="N185" s="78">
        <f t="shared" si="16"/>
        <v>0</v>
      </c>
      <c r="O185" s="82"/>
      <c r="P185" s="68"/>
      <c r="Q185" s="68"/>
      <c r="R185" s="20"/>
      <c r="S185" s="21"/>
    </row>
    <row r="186" spans="4:19">
      <c r="D186" s="19"/>
      <c r="E186" s="20"/>
      <c r="F186" s="20"/>
      <c r="G186" s="20"/>
      <c r="H186" s="20"/>
      <c r="I186" s="68"/>
      <c r="J186" s="7" t="s">
        <v>21</v>
      </c>
      <c r="K186" s="9"/>
      <c r="L186" s="9">
        <f>SUM(K174:K185)+SUM(M174:M185)+L170-N186</f>
        <v>144692.23321415609</v>
      </c>
      <c r="M186" s="10"/>
      <c r="N186" s="68">
        <f>MAX(O174:O185)</f>
        <v>0</v>
      </c>
      <c r="O186" s="73"/>
      <c r="P186" s="20"/>
      <c r="Q186" s="20"/>
      <c r="R186" s="20"/>
      <c r="S186" s="21"/>
    </row>
    <row r="187" spans="4:19">
      <c r="D187" s="19"/>
      <c r="E187" s="20"/>
      <c r="F187" s="20"/>
      <c r="G187" s="20"/>
      <c r="H187" s="20"/>
      <c r="I187" s="68"/>
      <c r="J187" s="20"/>
      <c r="K187" s="20"/>
      <c r="L187" s="20"/>
      <c r="M187" s="20"/>
      <c r="N187" s="20"/>
      <c r="O187" s="20"/>
      <c r="P187" s="20"/>
      <c r="Q187" s="20"/>
      <c r="R187" s="20"/>
      <c r="S187" s="21"/>
    </row>
    <row r="188" spans="4:19">
      <c r="D188" s="19"/>
      <c r="E188" s="20"/>
      <c r="F188" s="20"/>
      <c r="G188" s="20"/>
      <c r="H188" s="20"/>
      <c r="I188" s="68"/>
      <c r="J188" s="99" t="s">
        <v>28</v>
      </c>
      <c r="K188" s="100"/>
      <c r="L188" s="100"/>
      <c r="M188" s="101"/>
      <c r="N188" s="74"/>
      <c r="O188" s="84" t="s">
        <v>69</v>
      </c>
      <c r="P188" s="20"/>
      <c r="Q188" s="20"/>
      <c r="R188" s="20"/>
      <c r="S188" s="21"/>
    </row>
    <row r="189" spans="4:19">
      <c r="D189" s="19"/>
      <c r="E189" s="20"/>
      <c r="F189" s="20"/>
      <c r="G189" s="95" t="s">
        <v>81</v>
      </c>
      <c r="H189" s="70" t="s">
        <v>64</v>
      </c>
      <c r="I189" s="68"/>
      <c r="J189" s="1" t="s">
        <v>1</v>
      </c>
      <c r="K189" s="2" t="s">
        <v>14</v>
      </c>
      <c r="L189" s="2" t="s">
        <v>0</v>
      </c>
      <c r="M189" s="3" t="s">
        <v>15</v>
      </c>
      <c r="N189" s="3"/>
      <c r="O189" s="97" t="s">
        <v>68</v>
      </c>
      <c r="P189" s="68"/>
      <c r="Q189" s="68"/>
      <c r="R189" s="20"/>
      <c r="S189" s="21"/>
    </row>
    <row r="190" spans="4:19">
      <c r="D190" s="19"/>
      <c r="E190" s="20"/>
      <c r="F190" s="20"/>
      <c r="G190" s="34">
        <v>8.6999999999999994E-2</v>
      </c>
      <c r="H190" s="71" t="s">
        <v>65</v>
      </c>
      <c r="I190" s="68"/>
      <c r="J190" s="4" t="s">
        <v>2</v>
      </c>
      <c r="K190" s="32"/>
      <c r="L190" s="29">
        <f>$L$186+IF(H190="before 5th",K190,0)</f>
        <v>144692.23321415609</v>
      </c>
      <c r="M190" s="6">
        <f>L190*G190/12</f>
        <v>1049.0186908026315</v>
      </c>
      <c r="N190" s="78">
        <f>IF(O190=MAX($O$190:$O$201),O190,IF(N189=MAX($O$190:$O$201),N189,0))</f>
        <v>0</v>
      </c>
      <c r="O190" s="98"/>
      <c r="P190" s="96"/>
      <c r="Q190" s="68"/>
      <c r="R190" s="20"/>
      <c r="S190" s="21"/>
    </row>
    <row r="191" spans="4:19">
      <c r="D191" s="19" t="str">
        <f>IF($M$9=0,"Withdrawal limit","")</f>
        <v>Withdrawal limit</v>
      </c>
      <c r="E191" s="20"/>
      <c r="F191" s="20">
        <f>IF($M$9=0,50%*MIN(L186,L138),"")</f>
        <v>56328.293182971014</v>
      </c>
      <c r="G191" s="34">
        <v>8.6999999999999994E-2</v>
      </c>
      <c r="H191" s="71" t="s">
        <v>65</v>
      </c>
      <c r="I191" s="68"/>
      <c r="J191" s="4" t="s">
        <v>3</v>
      </c>
      <c r="K191" s="32"/>
      <c r="L191" s="29">
        <f>SUM($K$190:K190)+$L$186+IF(H191="before 5th",K191,0)</f>
        <v>144692.23321415609</v>
      </c>
      <c r="M191" s="6">
        <f t="shared" ref="M191:M201" si="17">L191*G191/12</f>
        <v>1049.0186908026315</v>
      </c>
      <c r="N191" s="78">
        <f t="shared" ref="N191:N201" si="18">IF(O191=MAX($O$190:$O$201),O191,IF(N190=MAX($O$190:$O$201),N190,0))</f>
        <v>0</v>
      </c>
      <c r="O191" s="82"/>
      <c r="P191" s="20" t="s">
        <v>40</v>
      </c>
      <c r="Q191" s="20"/>
      <c r="R191" s="20"/>
      <c r="S191" s="21"/>
    </row>
    <row r="192" spans="4:19">
      <c r="D192" s="19"/>
      <c r="E192" s="20"/>
      <c r="F192" s="20"/>
      <c r="G192" s="34">
        <v>8.6999999999999994E-2</v>
      </c>
      <c r="H192" s="71" t="s">
        <v>65</v>
      </c>
      <c r="I192" s="68"/>
      <c r="J192" s="4" t="s">
        <v>4</v>
      </c>
      <c r="K192" s="32"/>
      <c r="L192" s="29">
        <f>SUM($K$190:K191)+$L$186+IF(H192="before 5th",K192,0)</f>
        <v>144692.23321415609</v>
      </c>
      <c r="M192" s="6">
        <f t="shared" si="17"/>
        <v>1049.0186908026315</v>
      </c>
      <c r="N192" s="78">
        <f t="shared" si="18"/>
        <v>0</v>
      </c>
      <c r="O192" s="82"/>
      <c r="P192" s="33">
        <v>150000</v>
      </c>
      <c r="Q192" s="20"/>
      <c r="R192" s="20"/>
      <c r="S192" s="21"/>
    </row>
    <row r="193" spans="4:19">
      <c r="D193" s="19"/>
      <c r="E193" s="20"/>
      <c r="F193" s="20"/>
      <c r="G193" s="34">
        <v>8.6999999999999994E-2</v>
      </c>
      <c r="H193" s="71" t="s">
        <v>65</v>
      </c>
      <c r="I193" s="68"/>
      <c r="J193" s="4" t="s">
        <v>5</v>
      </c>
      <c r="K193" s="32"/>
      <c r="L193" s="29">
        <f>SUM($K$190:K192)+$L$186+IF(H193="before 5th",K193,0)</f>
        <v>144692.23321415609</v>
      </c>
      <c r="M193" s="6">
        <f t="shared" si="17"/>
        <v>1049.0186908026315</v>
      </c>
      <c r="N193" s="78">
        <f t="shared" si="18"/>
        <v>0</v>
      </c>
      <c r="O193" s="82"/>
      <c r="P193" s="41" t="str">
        <f>IF(SUM(K190:K201)&gt;P192,"Warning: total investment exceeds allowed limit","")</f>
        <v/>
      </c>
      <c r="Q193" s="49"/>
      <c r="R193" s="49"/>
      <c r="S193" s="50"/>
    </row>
    <row r="194" spans="4:19">
      <c r="D194" s="19"/>
      <c r="E194" s="20"/>
      <c r="F194" s="20"/>
      <c r="G194" s="34">
        <v>8.6999999999999994E-2</v>
      </c>
      <c r="H194" s="71" t="s">
        <v>65</v>
      </c>
      <c r="I194" s="68"/>
      <c r="J194" s="4" t="s">
        <v>6</v>
      </c>
      <c r="K194" s="32"/>
      <c r="L194" s="29">
        <f>SUM($K$190:K193)+$L$186+IF(H194="before 5th",K194,0)</f>
        <v>144692.23321415609</v>
      </c>
      <c r="M194" s="6">
        <f t="shared" si="17"/>
        <v>1049.0186908026315</v>
      </c>
      <c r="N194" s="78">
        <f t="shared" si="18"/>
        <v>0</v>
      </c>
      <c r="O194" s="82"/>
      <c r="P194" s="20"/>
      <c r="Q194" s="20"/>
      <c r="R194" s="20"/>
      <c r="S194" s="21"/>
    </row>
    <row r="195" spans="4:19">
      <c r="D195" s="19"/>
      <c r="E195" s="20"/>
      <c r="F195" s="20"/>
      <c r="G195" s="34">
        <v>8.6999999999999994E-2</v>
      </c>
      <c r="H195" s="71" t="s">
        <v>65</v>
      </c>
      <c r="I195" s="68"/>
      <c r="J195" s="4" t="s">
        <v>7</v>
      </c>
      <c r="K195" s="32"/>
      <c r="L195" s="29">
        <f>SUM($K$190:K194)+$L$186+IF(H195="before 5th",K195,0)</f>
        <v>144692.23321415609</v>
      </c>
      <c r="M195" s="6">
        <f t="shared" si="17"/>
        <v>1049.0186908026315</v>
      </c>
      <c r="N195" s="78">
        <f t="shared" si="18"/>
        <v>0</v>
      </c>
      <c r="O195" s="82"/>
      <c r="P195" s="79" t="str">
        <f>IF(N202&gt;F191,"Withdrawal is above limit","")</f>
        <v/>
      </c>
      <c r="Q195" s="75"/>
      <c r="R195" s="75"/>
      <c r="S195" s="80"/>
    </row>
    <row r="196" spans="4:19">
      <c r="D196" s="19"/>
      <c r="E196" s="20"/>
      <c r="F196" s="20"/>
      <c r="G196" s="34">
        <v>8.6999999999999994E-2</v>
      </c>
      <c r="H196" s="71" t="s">
        <v>65</v>
      </c>
      <c r="I196" s="68"/>
      <c r="J196" s="4" t="s">
        <v>8</v>
      </c>
      <c r="K196" s="32"/>
      <c r="L196" s="29">
        <f>SUM($K$190:K195)+$L$186+IF(H196="before 5th",K196,0)</f>
        <v>144692.23321415609</v>
      </c>
      <c r="M196" s="6">
        <f t="shared" si="17"/>
        <v>1049.0186908026315</v>
      </c>
      <c r="N196" s="78">
        <f t="shared" si="18"/>
        <v>0</v>
      </c>
      <c r="O196" s="82"/>
      <c r="P196" s="20"/>
      <c r="Q196" s="20"/>
      <c r="R196" s="20"/>
      <c r="S196" s="21"/>
    </row>
    <row r="197" spans="4:19">
      <c r="D197" s="19"/>
      <c r="E197" s="20"/>
      <c r="F197" s="20"/>
      <c r="G197" s="34">
        <v>8.6999999999999994E-2</v>
      </c>
      <c r="H197" s="71" t="s">
        <v>65</v>
      </c>
      <c r="I197" s="68"/>
      <c r="J197" s="4" t="s">
        <v>9</v>
      </c>
      <c r="K197" s="32"/>
      <c r="L197" s="29">
        <f>SUM($K$190:K196)+$L$186+IF(H197="before 5th",K197,0)</f>
        <v>144692.23321415609</v>
      </c>
      <c r="M197" s="6">
        <f t="shared" si="17"/>
        <v>1049.0186908026315</v>
      </c>
      <c r="N197" s="78">
        <f t="shared" si="18"/>
        <v>0</v>
      </c>
      <c r="O197" s="82"/>
      <c r="P197" s="20"/>
      <c r="Q197" s="20"/>
      <c r="R197" s="20"/>
      <c r="S197" s="21"/>
    </row>
    <row r="198" spans="4:19">
      <c r="D198" s="19"/>
      <c r="E198" s="20"/>
      <c r="F198" s="20"/>
      <c r="G198" s="34">
        <v>8.6999999999999994E-2</v>
      </c>
      <c r="H198" s="71" t="s">
        <v>65</v>
      </c>
      <c r="I198" s="68"/>
      <c r="J198" s="4" t="s">
        <v>10</v>
      </c>
      <c r="K198" s="32"/>
      <c r="L198" s="29">
        <f>SUM($K$190:K197)+$L$186+IF(H198="before 5th",K198,0)</f>
        <v>144692.23321415609</v>
      </c>
      <c r="M198" s="6">
        <f t="shared" si="17"/>
        <v>1049.0186908026315</v>
      </c>
      <c r="N198" s="78">
        <f t="shared" si="18"/>
        <v>0</v>
      </c>
      <c r="O198" s="82"/>
      <c r="P198" s="20"/>
      <c r="Q198" s="20"/>
      <c r="R198" s="20"/>
      <c r="S198" s="21"/>
    </row>
    <row r="199" spans="4:19">
      <c r="D199" s="19"/>
      <c r="E199" s="20"/>
      <c r="F199" s="20"/>
      <c r="G199" s="34">
        <v>8.6999999999999994E-2</v>
      </c>
      <c r="H199" s="71" t="s">
        <v>65</v>
      </c>
      <c r="I199" s="68"/>
      <c r="J199" s="4" t="s">
        <v>11</v>
      </c>
      <c r="K199" s="32"/>
      <c r="L199" s="29">
        <f>SUM($K$190:K198)+$L$186+IF(H199="before 5th",K199,0)</f>
        <v>144692.23321415609</v>
      </c>
      <c r="M199" s="6">
        <f t="shared" si="17"/>
        <v>1049.0186908026315</v>
      </c>
      <c r="N199" s="78">
        <f t="shared" si="18"/>
        <v>0</v>
      </c>
      <c r="O199" s="82"/>
      <c r="P199" s="68"/>
      <c r="Q199" s="68"/>
      <c r="R199" s="20"/>
      <c r="S199" s="21"/>
    </row>
    <row r="200" spans="4:19">
      <c r="D200" s="19"/>
      <c r="E200" s="20"/>
      <c r="F200" s="20"/>
      <c r="G200" s="34">
        <v>8.6999999999999994E-2</v>
      </c>
      <c r="H200" s="71" t="s">
        <v>65</v>
      </c>
      <c r="I200" s="68"/>
      <c r="J200" s="4" t="s">
        <v>12</v>
      </c>
      <c r="K200" s="32"/>
      <c r="L200" s="29">
        <f>SUM($K$190:K199)+$L$186+IF(H200="before 5th",K200,0)</f>
        <v>144692.23321415609</v>
      </c>
      <c r="M200" s="6">
        <f t="shared" si="17"/>
        <v>1049.0186908026315</v>
      </c>
      <c r="N200" s="78">
        <f t="shared" si="18"/>
        <v>0</v>
      </c>
      <c r="O200" s="82"/>
      <c r="P200" s="68"/>
      <c r="Q200" s="68"/>
      <c r="R200" s="20"/>
      <c r="S200" s="21"/>
    </row>
    <row r="201" spans="4:19">
      <c r="D201" s="19"/>
      <c r="E201" s="20"/>
      <c r="F201" s="20"/>
      <c r="G201" s="34">
        <v>8.6999999999999994E-2</v>
      </c>
      <c r="H201" s="71" t="s">
        <v>65</v>
      </c>
      <c r="I201" s="68"/>
      <c r="J201" s="4" t="s">
        <v>13</v>
      </c>
      <c r="K201" s="32"/>
      <c r="L201" s="29">
        <f>SUM($K$190:K200)+$L$186+IF(H201="before 5th",K201,0)</f>
        <v>144692.23321415609</v>
      </c>
      <c r="M201" s="6">
        <f t="shared" si="17"/>
        <v>1049.0186908026315</v>
      </c>
      <c r="N201" s="78">
        <f t="shared" si="18"/>
        <v>0</v>
      </c>
      <c r="O201" s="82"/>
      <c r="P201" s="68"/>
      <c r="Q201" s="68"/>
      <c r="R201" s="20"/>
      <c r="S201" s="21"/>
    </row>
    <row r="202" spans="4:19">
      <c r="D202" s="19"/>
      <c r="E202" s="20"/>
      <c r="F202" s="20"/>
      <c r="G202" s="20"/>
      <c r="H202" s="20"/>
      <c r="I202" s="68"/>
      <c r="J202" s="7" t="s">
        <v>21</v>
      </c>
      <c r="K202" s="9"/>
      <c r="L202" s="9">
        <f>SUM(K190:K201)+SUM(M190:M201)+L186-N202</f>
        <v>157280.45750378768</v>
      </c>
      <c r="M202" s="10"/>
      <c r="N202" s="68">
        <f>MAX(O190:O201)</f>
        <v>0</v>
      </c>
      <c r="O202" s="73"/>
      <c r="P202" s="20"/>
      <c r="Q202" s="20"/>
      <c r="R202" s="20"/>
      <c r="S202" s="21"/>
    </row>
    <row r="203" spans="4:19">
      <c r="D203" s="19"/>
      <c r="E203" s="20"/>
      <c r="F203" s="20"/>
      <c r="G203" s="20"/>
      <c r="H203" s="20"/>
      <c r="I203" s="68"/>
      <c r="J203" s="20"/>
      <c r="K203" s="20"/>
      <c r="L203" s="20"/>
      <c r="M203" s="20"/>
      <c r="N203" s="20"/>
      <c r="O203" s="20"/>
      <c r="P203" s="20"/>
      <c r="Q203" s="20"/>
      <c r="R203" s="20"/>
      <c r="S203" s="21"/>
    </row>
    <row r="204" spans="4:19">
      <c r="D204" s="19"/>
      <c r="E204" s="20"/>
      <c r="F204" s="20"/>
      <c r="G204" s="20"/>
      <c r="H204" s="20"/>
      <c r="I204" s="68"/>
      <c r="J204" s="99" t="s">
        <v>29</v>
      </c>
      <c r="K204" s="100"/>
      <c r="L204" s="100"/>
      <c r="M204" s="101"/>
      <c r="N204" s="74"/>
      <c r="O204" s="84" t="s">
        <v>69</v>
      </c>
      <c r="P204" s="20"/>
      <c r="Q204" s="20"/>
      <c r="R204" s="20"/>
      <c r="S204" s="21"/>
    </row>
    <row r="205" spans="4:19">
      <c r="D205" s="19"/>
      <c r="E205" s="20"/>
      <c r="F205" s="20"/>
      <c r="G205" s="95" t="s">
        <v>81</v>
      </c>
      <c r="H205" s="70" t="s">
        <v>64</v>
      </c>
      <c r="I205" s="68"/>
      <c r="J205" s="1" t="s">
        <v>1</v>
      </c>
      <c r="K205" s="2" t="s">
        <v>14</v>
      </c>
      <c r="L205" s="2" t="s">
        <v>0</v>
      </c>
      <c r="M205" s="3" t="s">
        <v>15</v>
      </c>
      <c r="N205" s="3"/>
      <c r="O205" s="97" t="s">
        <v>68</v>
      </c>
      <c r="P205" s="68"/>
      <c r="Q205" s="68"/>
      <c r="R205" s="20"/>
      <c r="S205" s="21"/>
    </row>
    <row r="206" spans="4:19">
      <c r="D206" s="19"/>
      <c r="E206" s="20"/>
      <c r="F206" s="20"/>
      <c r="G206" s="34">
        <v>8.6999999999999994E-2</v>
      </c>
      <c r="H206" s="71" t="s">
        <v>65</v>
      </c>
      <c r="I206" s="68"/>
      <c r="J206" s="4" t="s">
        <v>2</v>
      </c>
      <c r="K206" s="32"/>
      <c r="L206" s="29">
        <f>$L$202+IF(H206="before 5th",K206,0)</f>
        <v>157280.45750378768</v>
      </c>
      <c r="M206" s="6">
        <f>L206*G206/12</f>
        <v>1140.2833169024605</v>
      </c>
      <c r="N206" s="78">
        <f>IF(O206=MAX($O$206:$O$217),O206,IF(N205=MAX($O$206:$O$217),N205,0))</f>
        <v>0</v>
      </c>
      <c r="O206" s="98"/>
      <c r="P206" s="96"/>
      <c r="Q206" s="68"/>
      <c r="R206" s="20"/>
      <c r="S206" s="21"/>
    </row>
    <row r="207" spans="4:19">
      <c r="D207" s="19" t="str">
        <f>IF($M$9=0,"Withdrawal limit","")</f>
        <v>Withdrawal limit</v>
      </c>
      <c r="E207" s="20"/>
      <c r="F207" s="20">
        <f>IF($M$9=0,50%*MIN(L202,L154),"")</f>
        <v>61228.854689889493</v>
      </c>
      <c r="G207" s="34">
        <v>8.6999999999999994E-2</v>
      </c>
      <c r="H207" s="71" t="s">
        <v>65</v>
      </c>
      <c r="I207" s="68"/>
      <c r="J207" s="4" t="s">
        <v>3</v>
      </c>
      <c r="K207" s="32"/>
      <c r="L207" s="29">
        <f>SUM($K$206:K206)+$L$202+IF(H207="before 5th",K207,0)</f>
        <v>157280.45750378768</v>
      </c>
      <c r="M207" s="6">
        <f t="shared" ref="M207:M217" si="19">L207*G207/12</f>
        <v>1140.2833169024605</v>
      </c>
      <c r="N207" s="78">
        <f t="shared" ref="N207:N217" si="20">IF(O207=MAX($O$206:$O$217),O207,IF(N206=MAX($O$206:$O$217),N206,0))</f>
        <v>0</v>
      </c>
      <c r="O207" s="82"/>
      <c r="P207" s="20" t="s">
        <v>40</v>
      </c>
      <c r="Q207" s="20"/>
      <c r="R207" s="20"/>
      <c r="S207" s="21"/>
    </row>
    <row r="208" spans="4:19">
      <c r="D208" s="19"/>
      <c r="E208" s="20"/>
      <c r="F208" s="20"/>
      <c r="G208" s="34">
        <v>8.6999999999999994E-2</v>
      </c>
      <c r="H208" s="71" t="s">
        <v>65</v>
      </c>
      <c r="I208" s="68"/>
      <c r="J208" s="4" t="s">
        <v>4</v>
      </c>
      <c r="K208" s="32"/>
      <c r="L208" s="29">
        <f>SUM($K$206:K207)+$L$202+IF(H208="before 5th",K208,0)</f>
        <v>157280.45750378768</v>
      </c>
      <c r="M208" s="6">
        <f t="shared" si="19"/>
        <v>1140.2833169024605</v>
      </c>
      <c r="N208" s="78">
        <f t="shared" si="20"/>
        <v>0</v>
      </c>
      <c r="O208" s="82"/>
      <c r="P208" s="33">
        <v>150000</v>
      </c>
      <c r="Q208" s="20"/>
      <c r="R208" s="20"/>
      <c r="S208" s="21"/>
    </row>
    <row r="209" spans="4:19">
      <c r="D209" s="19"/>
      <c r="E209" s="20"/>
      <c r="F209" s="20"/>
      <c r="G209" s="34">
        <v>8.6999999999999994E-2</v>
      </c>
      <c r="H209" s="71" t="s">
        <v>65</v>
      </c>
      <c r="I209" s="68"/>
      <c r="J209" s="4" t="s">
        <v>5</v>
      </c>
      <c r="K209" s="32"/>
      <c r="L209" s="29">
        <f>SUM($K$206:K208)+$L$202+IF(H209="before 5th",K209,0)</f>
        <v>157280.45750378768</v>
      </c>
      <c r="M209" s="6">
        <f t="shared" si="19"/>
        <v>1140.2833169024605</v>
      </c>
      <c r="N209" s="78">
        <f t="shared" si="20"/>
        <v>0</v>
      </c>
      <c r="O209" s="82"/>
      <c r="P209" s="41" t="str">
        <f>IF(SUM(K206:K217)&gt;P208,"Warning: total investment exceeds allowed limit","")</f>
        <v/>
      </c>
      <c r="Q209" s="49"/>
      <c r="R209" s="49"/>
      <c r="S209" s="50"/>
    </row>
    <row r="210" spans="4:19">
      <c r="D210" s="19"/>
      <c r="E210" s="20"/>
      <c r="F210" s="20"/>
      <c r="G210" s="34">
        <v>8.6999999999999994E-2</v>
      </c>
      <c r="H210" s="71" t="s">
        <v>65</v>
      </c>
      <c r="I210" s="68"/>
      <c r="J210" s="4" t="s">
        <v>6</v>
      </c>
      <c r="K210" s="32"/>
      <c r="L210" s="29">
        <f>SUM($K$206:K209)+$L$202+IF(H210="before 5th",K210,0)</f>
        <v>157280.45750378768</v>
      </c>
      <c r="M210" s="6">
        <f t="shared" si="19"/>
        <v>1140.2833169024605</v>
      </c>
      <c r="N210" s="78">
        <f t="shared" si="20"/>
        <v>0</v>
      </c>
      <c r="O210" s="82"/>
      <c r="P210" s="20"/>
      <c r="Q210" s="20"/>
      <c r="R210" s="20"/>
      <c r="S210" s="21"/>
    </row>
    <row r="211" spans="4:19">
      <c r="D211" s="19"/>
      <c r="E211" s="20"/>
      <c r="F211" s="20"/>
      <c r="G211" s="34">
        <v>8.6999999999999994E-2</v>
      </c>
      <c r="H211" s="71" t="s">
        <v>65</v>
      </c>
      <c r="I211" s="68"/>
      <c r="J211" s="4" t="s">
        <v>7</v>
      </c>
      <c r="K211" s="32"/>
      <c r="L211" s="29">
        <f>SUM($K$206:K210)+$L$202+IF(H211="before 5th",K211,0)</f>
        <v>157280.45750378768</v>
      </c>
      <c r="M211" s="6">
        <f t="shared" si="19"/>
        <v>1140.2833169024605</v>
      </c>
      <c r="N211" s="78">
        <f t="shared" si="20"/>
        <v>0</v>
      </c>
      <c r="O211" s="82"/>
      <c r="P211" s="79" t="str">
        <f>IF(N218&gt;F207,"Withdrawal is above limit","")</f>
        <v/>
      </c>
      <c r="Q211" s="75"/>
      <c r="R211" s="75"/>
      <c r="S211" s="80"/>
    </row>
    <row r="212" spans="4:19">
      <c r="D212" s="19"/>
      <c r="E212" s="20"/>
      <c r="F212" s="20"/>
      <c r="G212" s="34">
        <v>8.6999999999999994E-2</v>
      </c>
      <c r="H212" s="71" t="s">
        <v>65</v>
      </c>
      <c r="I212" s="68"/>
      <c r="J212" s="4" t="s">
        <v>8</v>
      </c>
      <c r="K212" s="32"/>
      <c r="L212" s="29">
        <f>SUM($K$206:K211)+$L$202+IF(H212="before 5th",K212,0)</f>
        <v>157280.45750378768</v>
      </c>
      <c r="M212" s="6">
        <f t="shared" si="19"/>
        <v>1140.2833169024605</v>
      </c>
      <c r="N212" s="78">
        <f t="shared" si="20"/>
        <v>0</v>
      </c>
      <c r="O212" s="82"/>
      <c r="P212" s="20"/>
      <c r="Q212" s="20"/>
      <c r="R212" s="20"/>
      <c r="S212" s="21"/>
    </row>
    <row r="213" spans="4:19">
      <c r="D213" s="19"/>
      <c r="E213" s="20"/>
      <c r="F213" s="20"/>
      <c r="G213" s="34">
        <v>8.6999999999999994E-2</v>
      </c>
      <c r="H213" s="71" t="s">
        <v>65</v>
      </c>
      <c r="I213" s="68"/>
      <c r="J213" s="4" t="s">
        <v>9</v>
      </c>
      <c r="K213" s="32"/>
      <c r="L213" s="29">
        <f>SUM($K$206:K212)+$L$202+IF(H213="before 5th",K213,0)</f>
        <v>157280.45750378768</v>
      </c>
      <c r="M213" s="6">
        <f t="shared" si="19"/>
        <v>1140.2833169024605</v>
      </c>
      <c r="N213" s="78">
        <f t="shared" si="20"/>
        <v>0</v>
      </c>
      <c r="O213" s="82"/>
      <c r="P213" s="20"/>
      <c r="Q213" s="20"/>
      <c r="R213" s="20"/>
      <c r="S213" s="21"/>
    </row>
    <row r="214" spans="4:19">
      <c r="D214" s="19"/>
      <c r="E214" s="20"/>
      <c r="F214" s="20"/>
      <c r="G214" s="34">
        <v>8.6999999999999994E-2</v>
      </c>
      <c r="H214" s="71" t="s">
        <v>65</v>
      </c>
      <c r="I214" s="68"/>
      <c r="J214" s="4" t="s">
        <v>10</v>
      </c>
      <c r="K214" s="32"/>
      <c r="L214" s="29">
        <f>SUM($K$206:K213)+$L$202+IF(H214="before 5th",K214,0)</f>
        <v>157280.45750378768</v>
      </c>
      <c r="M214" s="6">
        <f t="shared" si="19"/>
        <v>1140.2833169024605</v>
      </c>
      <c r="N214" s="78">
        <f t="shared" si="20"/>
        <v>0</v>
      </c>
      <c r="O214" s="82"/>
      <c r="P214" s="20"/>
      <c r="Q214" s="20"/>
      <c r="R214" s="20"/>
      <c r="S214" s="21"/>
    </row>
    <row r="215" spans="4:19">
      <c r="D215" s="19"/>
      <c r="E215" s="20"/>
      <c r="F215" s="20"/>
      <c r="G215" s="34">
        <v>8.6999999999999994E-2</v>
      </c>
      <c r="H215" s="71" t="s">
        <v>65</v>
      </c>
      <c r="I215" s="68"/>
      <c r="J215" s="4" t="s">
        <v>11</v>
      </c>
      <c r="K215" s="32"/>
      <c r="L215" s="29">
        <f>SUM($K$206:K214)+$L$202+IF(H215="before 5th",K215,0)</f>
        <v>157280.45750378768</v>
      </c>
      <c r="M215" s="6">
        <f t="shared" si="19"/>
        <v>1140.2833169024605</v>
      </c>
      <c r="N215" s="78">
        <f t="shared" si="20"/>
        <v>0</v>
      </c>
      <c r="O215" s="82"/>
      <c r="P215" s="68"/>
      <c r="Q215" s="68"/>
      <c r="R215" s="20"/>
      <c r="S215" s="21"/>
    </row>
    <row r="216" spans="4:19">
      <c r="D216" s="19"/>
      <c r="E216" s="20"/>
      <c r="F216" s="20"/>
      <c r="G216" s="34">
        <v>8.6999999999999994E-2</v>
      </c>
      <c r="H216" s="71" t="s">
        <v>65</v>
      </c>
      <c r="I216" s="68"/>
      <c r="J216" s="4" t="s">
        <v>12</v>
      </c>
      <c r="K216" s="32"/>
      <c r="L216" s="29">
        <f>SUM($K$206:K215)+$L$202+IF(H216="before 5th",K216,0)</f>
        <v>157280.45750378768</v>
      </c>
      <c r="M216" s="6">
        <f t="shared" si="19"/>
        <v>1140.2833169024605</v>
      </c>
      <c r="N216" s="78">
        <f t="shared" si="20"/>
        <v>0</v>
      </c>
      <c r="O216" s="82"/>
      <c r="P216" s="68"/>
      <c r="Q216" s="68"/>
      <c r="R216" s="20"/>
      <c r="S216" s="21"/>
    </row>
    <row r="217" spans="4:19">
      <c r="D217" s="19"/>
      <c r="E217" s="20"/>
      <c r="F217" s="20"/>
      <c r="G217" s="34">
        <v>8.6999999999999994E-2</v>
      </c>
      <c r="H217" s="71" t="s">
        <v>65</v>
      </c>
      <c r="I217" s="68"/>
      <c r="J217" s="4" t="s">
        <v>13</v>
      </c>
      <c r="K217" s="32"/>
      <c r="L217" s="29">
        <f>SUM($K$206:K216)+$L$202+IF(H217="before 5th",K217,0)</f>
        <v>157280.45750378768</v>
      </c>
      <c r="M217" s="6">
        <f t="shared" si="19"/>
        <v>1140.2833169024605</v>
      </c>
      <c r="N217" s="78">
        <f t="shared" si="20"/>
        <v>0</v>
      </c>
      <c r="O217" s="82"/>
      <c r="P217" s="68"/>
      <c r="Q217" s="68"/>
      <c r="R217" s="20"/>
      <c r="S217" s="21"/>
    </row>
    <row r="218" spans="4:19">
      <c r="D218" s="19"/>
      <c r="E218" s="20"/>
      <c r="F218" s="20"/>
      <c r="G218" s="20"/>
      <c r="H218" s="20"/>
      <c r="I218" s="68"/>
      <c r="J218" s="7" t="s">
        <v>21</v>
      </c>
      <c r="K218" s="9"/>
      <c r="L218" s="9">
        <f>SUM(K206:K217)+SUM(M206:M217)+L202-N218</f>
        <v>170963.8573066172</v>
      </c>
      <c r="M218" s="10"/>
      <c r="N218" s="68">
        <f>MAX(O206:O217)</f>
        <v>0</v>
      </c>
      <c r="O218" s="73"/>
      <c r="P218" s="20"/>
      <c r="Q218" s="20"/>
      <c r="R218" s="20"/>
      <c r="S218" s="21"/>
    </row>
    <row r="219" spans="4:19">
      <c r="D219" s="19"/>
      <c r="E219" s="20"/>
      <c r="F219" s="20"/>
      <c r="G219" s="20"/>
      <c r="H219" s="20"/>
      <c r="I219" s="68"/>
      <c r="J219" s="20"/>
      <c r="K219" s="20"/>
      <c r="L219" s="20"/>
      <c r="M219" s="20"/>
      <c r="N219" s="20"/>
      <c r="O219" s="20"/>
      <c r="P219" s="20"/>
      <c r="Q219" s="20"/>
      <c r="R219" s="20"/>
      <c r="S219" s="21"/>
    </row>
    <row r="220" spans="4:19">
      <c r="D220" s="19"/>
      <c r="E220" s="20"/>
      <c r="F220" s="20"/>
      <c r="G220" s="20"/>
      <c r="H220" s="20"/>
      <c r="I220" s="68"/>
      <c r="J220" s="99" t="s">
        <v>30</v>
      </c>
      <c r="K220" s="100"/>
      <c r="L220" s="100"/>
      <c r="M220" s="101"/>
      <c r="N220" s="74"/>
      <c r="O220" s="84" t="s">
        <v>69</v>
      </c>
      <c r="P220" s="20"/>
      <c r="Q220" s="20"/>
      <c r="R220" s="20"/>
      <c r="S220" s="21"/>
    </row>
    <row r="221" spans="4:19">
      <c r="D221" s="19"/>
      <c r="E221" s="20"/>
      <c r="F221" s="20"/>
      <c r="G221" s="95" t="s">
        <v>81</v>
      </c>
      <c r="H221" s="70" t="s">
        <v>64</v>
      </c>
      <c r="I221" s="68"/>
      <c r="J221" s="1" t="s">
        <v>1</v>
      </c>
      <c r="K221" s="2" t="s">
        <v>14</v>
      </c>
      <c r="L221" s="2" t="s">
        <v>0</v>
      </c>
      <c r="M221" s="3" t="s">
        <v>15</v>
      </c>
      <c r="N221" s="3"/>
      <c r="O221" s="95" t="s">
        <v>68</v>
      </c>
      <c r="P221" s="68"/>
      <c r="Q221" s="68"/>
      <c r="R221" s="20"/>
      <c r="S221" s="21"/>
    </row>
    <row r="222" spans="4:19">
      <c r="D222" s="19"/>
      <c r="E222" s="20"/>
      <c r="F222" s="20"/>
      <c r="G222" s="34">
        <v>8.6999999999999994E-2</v>
      </c>
      <c r="H222" s="71" t="s">
        <v>65</v>
      </c>
      <c r="I222" s="68"/>
      <c r="J222" s="4" t="s">
        <v>2</v>
      </c>
      <c r="K222" s="32"/>
      <c r="L222" s="29">
        <f>$L$218+IF(H222="before 5th",K222,0)</f>
        <v>170963.8573066172</v>
      </c>
      <c r="M222" s="6">
        <f>L222*G222/12</f>
        <v>1239.4879654729746</v>
      </c>
      <c r="N222" s="78">
        <f>IF(O222=MAX($O$222:$O$233),O222,IF(N221=MAX($O$222:$O$233),N221,0))</f>
        <v>0</v>
      </c>
      <c r="O222" s="82"/>
      <c r="P222" s="96"/>
      <c r="Q222" s="68"/>
      <c r="R222" s="20"/>
      <c r="S222" s="21"/>
    </row>
    <row r="223" spans="4:19">
      <c r="D223" s="19" t="str">
        <f>IF($M$9=0,"Withdrawal limit","")</f>
        <v>Withdrawal limit</v>
      </c>
      <c r="E223" s="20"/>
      <c r="F223" s="20">
        <f>IF($M$9=0,50%*MIN(L218,L170),"")</f>
        <v>66555.765047909881</v>
      </c>
      <c r="G223" s="34">
        <v>8.6999999999999994E-2</v>
      </c>
      <c r="H223" s="71" t="s">
        <v>65</v>
      </c>
      <c r="I223" s="68"/>
      <c r="J223" s="4" t="s">
        <v>3</v>
      </c>
      <c r="K223" s="32"/>
      <c r="L223" s="29">
        <f>SUM($K$222:K222)+$L$218+IF(H223="before 5th",K223,0)</f>
        <v>170963.8573066172</v>
      </c>
      <c r="M223" s="6">
        <f t="shared" ref="M223:M233" si="21">L223*G223/12</f>
        <v>1239.4879654729746</v>
      </c>
      <c r="N223" s="78">
        <f t="shared" ref="N223:N233" si="22">IF(O223=MAX($O$222:$O$233),O223,IF(N222=MAX($O$222:$O$233),N222,0))</f>
        <v>0</v>
      </c>
      <c r="O223" s="82"/>
      <c r="P223" s="20" t="s">
        <v>40</v>
      </c>
      <c r="Q223" s="20"/>
      <c r="R223" s="20"/>
      <c r="S223" s="21"/>
    </row>
    <row r="224" spans="4:19">
      <c r="D224" s="19"/>
      <c r="E224" s="20"/>
      <c r="F224" s="20"/>
      <c r="G224" s="34">
        <v>8.6999999999999994E-2</v>
      </c>
      <c r="H224" s="71" t="s">
        <v>65</v>
      </c>
      <c r="I224" s="68"/>
      <c r="J224" s="4" t="s">
        <v>4</v>
      </c>
      <c r="K224" s="32"/>
      <c r="L224" s="29">
        <f>SUM($K$222:K223)+$L$218+IF(H224="before 5th",K224,0)</f>
        <v>170963.8573066172</v>
      </c>
      <c r="M224" s="6">
        <f t="shared" si="21"/>
        <v>1239.4879654729746</v>
      </c>
      <c r="N224" s="78">
        <f t="shared" si="22"/>
        <v>0</v>
      </c>
      <c r="O224" s="82"/>
      <c r="P224" s="83">
        <v>150000</v>
      </c>
      <c r="Q224" s="20"/>
      <c r="R224" s="20"/>
      <c r="S224" s="21"/>
    </row>
    <row r="225" spans="4:19">
      <c r="D225" s="19"/>
      <c r="E225" s="20"/>
      <c r="F225" s="20"/>
      <c r="G225" s="34">
        <v>8.6999999999999994E-2</v>
      </c>
      <c r="H225" s="71" t="s">
        <v>65</v>
      </c>
      <c r="I225" s="68"/>
      <c r="J225" s="4" t="s">
        <v>5</v>
      </c>
      <c r="K225" s="32"/>
      <c r="L225" s="29">
        <f>SUM($K$222:K224)+$L$218+IF(H225="before 5th",K225,0)</f>
        <v>170963.8573066172</v>
      </c>
      <c r="M225" s="6">
        <f t="shared" si="21"/>
        <v>1239.4879654729746</v>
      </c>
      <c r="N225" s="78">
        <f t="shared" si="22"/>
        <v>0</v>
      </c>
      <c r="O225" s="82"/>
      <c r="P225" s="41" t="str">
        <f>IF(SUM(K222:K233)&gt;P224,"Warning: total investment exceeds allowed limit","")</f>
        <v/>
      </c>
      <c r="Q225" s="49"/>
      <c r="R225" s="49"/>
      <c r="S225" s="50"/>
    </row>
    <row r="226" spans="4:19">
      <c r="D226" s="19"/>
      <c r="E226" s="20"/>
      <c r="F226" s="20"/>
      <c r="G226" s="34">
        <v>8.6999999999999994E-2</v>
      </c>
      <c r="H226" s="71" t="s">
        <v>65</v>
      </c>
      <c r="I226" s="68"/>
      <c r="J226" s="4" t="s">
        <v>6</v>
      </c>
      <c r="K226" s="32"/>
      <c r="L226" s="29">
        <f>SUM($K$222:K225)+$L$218+IF(H226="before 5th",K226,0)</f>
        <v>170963.8573066172</v>
      </c>
      <c r="M226" s="6">
        <f t="shared" si="21"/>
        <v>1239.4879654729746</v>
      </c>
      <c r="N226" s="78">
        <f t="shared" si="22"/>
        <v>0</v>
      </c>
      <c r="O226" s="82"/>
      <c r="P226" s="20"/>
      <c r="Q226" s="20"/>
      <c r="R226" s="20"/>
      <c r="S226" s="21"/>
    </row>
    <row r="227" spans="4:19">
      <c r="D227" s="19"/>
      <c r="E227" s="20"/>
      <c r="F227" s="20"/>
      <c r="G227" s="34">
        <v>8.6999999999999994E-2</v>
      </c>
      <c r="H227" s="71" t="s">
        <v>65</v>
      </c>
      <c r="I227" s="68"/>
      <c r="J227" s="4" t="s">
        <v>7</v>
      </c>
      <c r="K227" s="32"/>
      <c r="L227" s="29">
        <f>SUM($K$222:K226)+$L$218+IF(H227="before 5th",K227,0)</f>
        <v>170963.8573066172</v>
      </c>
      <c r="M227" s="6">
        <f t="shared" si="21"/>
        <v>1239.4879654729746</v>
      </c>
      <c r="N227" s="78">
        <f t="shared" si="22"/>
        <v>0</v>
      </c>
      <c r="O227" s="82"/>
      <c r="P227" s="79" t="str">
        <f>IF(N234&gt;F223,"Withdrawal is above limit","")</f>
        <v/>
      </c>
      <c r="Q227" s="75"/>
      <c r="R227" s="75"/>
      <c r="S227" s="80"/>
    </row>
    <row r="228" spans="4:19">
      <c r="D228" s="19"/>
      <c r="E228" s="20"/>
      <c r="F228" s="20"/>
      <c r="G228" s="34">
        <v>8.6999999999999994E-2</v>
      </c>
      <c r="H228" s="71" t="s">
        <v>65</v>
      </c>
      <c r="I228" s="68"/>
      <c r="J228" s="4" t="s">
        <v>8</v>
      </c>
      <c r="K228" s="32"/>
      <c r="L228" s="29">
        <f>SUM($K$222:K227)+$L$218+IF(H228="before 5th",K228,0)</f>
        <v>170963.8573066172</v>
      </c>
      <c r="M228" s="6">
        <f t="shared" si="21"/>
        <v>1239.4879654729746</v>
      </c>
      <c r="N228" s="78">
        <f t="shared" si="22"/>
        <v>0</v>
      </c>
      <c r="O228" s="82"/>
      <c r="P228" s="20"/>
      <c r="Q228" s="20"/>
      <c r="R228" s="20"/>
      <c r="S228" s="21"/>
    </row>
    <row r="229" spans="4:19">
      <c r="D229" s="19"/>
      <c r="E229" s="20"/>
      <c r="F229" s="20"/>
      <c r="G229" s="34">
        <v>8.6999999999999994E-2</v>
      </c>
      <c r="H229" s="71" t="s">
        <v>65</v>
      </c>
      <c r="I229" s="68"/>
      <c r="J229" s="4" t="s">
        <v>9</v>
      </c>
      <c r="K229" s="32"/>
      <c r="L229" s="29">
        <f>SUM($K$222:K228)+$L$218+IF(H229="before 5th",K229,0)</f>
        <v>170963.8573066172</v>
      </c>
      <c r="M229" s="6">
        <f t="shared" si="21"/>
        <v>1239.4879654729746</v>
      </c>
      <c r="N229" s="78">
        <f t="shared" si="22"/>
        <v>0</v>
      </c>
      <c r="O229" s="82"/>
      <c r="P229" s="20"/>
      <c r="Q229" s="20"/>
      <c r="R229" s="20"/>
      <c r="S229" s="21"/>
    </row>
    <row r="230" spans="4:19">
      <c r="D230" s="19"/>
      <c r="E230" s="20"/>
      <c r="F230" s="20"/>
      <c r="G230" s="34">
        <v>8.6999999999999994E-2</v>
      </c>
      <c r="H230" s="71" t="s">
        <v>65</v>
      </c>
      <c r="I230" s="68"/>
      <c r="J230" s="4" t="s">
        <v>10</v>
      </c>
      <c r="K230" s="32"/>
      <c r="L230" s="29">
        <f>SUM($K$222:K229)+$L$218+IF(H230="before 5th",K230,0)</f>
        <v>170963.8573066172</v>
      </c>
      <c r="M230" s="6">
        <f t="shared" si="21"/>
        <v>1239.4879654729746</v>
      </c>
      <c r="N230" s="78">
        <f t="shared" si="22"/>
        <v>0</v>
      </c>
      <c r="O230" s="82"/>
      <c r="P230" s="20"/>
      <c r="Q230" s="20"/>
      <c r="R230" s="20"/>
      <c r="S230" s="21"/>
    </row>
    <row r="231" spans="4:19">
      <c r="D231" s="19"/>
      <c r="E231" s="20"/>
      <c r="F231" s="20"/>
      <c r="G231" s="34">
        <v>8.6999999999999994E-2</v>
      </c>
      <c r="H231" s="71" t="s">
        <v>65</v>
      </c>
      <c r="I231" s="68"/>
      <c r="J231" s="4" t="s">
        <v>11</v>
      </c>
      <c r="K231" s="32"/>
      <c r="L231" s="29">
        <f>SUM($K$222:K230)+$L$218+IF(H231="before 5th",K231,0)</f>
        <v>170963.8573066172</v>
      </c>
      <c r="M231" s="6">
        <f t="shared" si="21"/>
        <v>1239.4879654729746</v>
      </c>
      <c r="N231" s="78">
        <f t="shared" si="22"/>
        <v>0</v>
      </c>
      <c r="O231" s="82"/>
      <c r="P231" s="68"/>
      <c r="Q231" s="68"/>
      <c r="R231" s="20"/>
      <c r="S231" s="21"/>
    </row>
    <row r="232" spans="4:19">
      <c r="D232" s="19"/>
      <c r="E232" s="20"/>
      <c r="F232" s="20"/>
      <c r="G232" s="34">
        <v>8.6999999999999994E-2</v>
      </c>
      <c r="H232" s="71" t="s">
        <v>65</v>
      </c>
      <c r="I232" s="68"/>
      <c r="J232" s="4" t="s">
        <v>12</v>
      </c>
      <c r="K232" s="32"/>
      <c r="L232" s="29">
        <f>SUM($K$222:K231)+$L$218+IF(H232="before 5th",K232,0)</f>
        <v>170963.8573066172</v>
      </c>
      <c r="M232" s="6">
        <f t="shared" si="21"/>
        <v>1239.4879654729746</v>
      </c>
      <c r="N232" s="78">
        <f t="shared" si="22"/>
        <v>0</v>
      </c>
      <c r="O232" s="82"/>
      <c r="P232" s="68"/>
      <c r="Q232" s="68"/>
      <c r="R232" s="20"/>
      <c r="S232" s="21"/>
    </row>
    <row r="233" spans="4:19">
      <c r="D233" s="19"/>
      <c r="E233" s="20"/>
      <c r="F233" s="20"/>
      <c r="G233" s="34">
        <v>8.6999999999999994E-2</v>
      </c>
      <c r="H233" s="71" t="s">
        <v>65</v>
      </c>
      <c r="I233" s="68"/>
      <c r="J233" s="4" t="s">
        <v>13</v>
      </c>
      <c r="K233" s="32"/>
      <c r="L233" s="29">
        <f>SUM($K$222:K232)+$L$218+IF(H233="before 5th",K233,0)</f>
        <v>170963.8573066172</v>
      </c>
      <c r="M233" s="6">
        <f t="shared" si="21"/>
        <v>1239.4879654729746</v>
      </c>
      <c r="N233" s="78">
        <f t="shared" si="22"/>
        <v>0</v>
      </c>
      <c r="O233" s="82"/>
      <c r="P233" s="68"/>
      <c r="Q233" s="68"/>
      <c r="R233" s="20"/>
      <c r="S233" s="21"/>
    </row>
    <row r="234" spans="4:19">
      <c r="D234" s="19"/>
      <c r="E234" s="20"/>
      <c r="F234" s="20"/>
      <c r="G234" s="20"/>
      <c r="H234" s="20"/>
      <c r="I234" s="68"/>
      <c r="J234" s="7" t="s">
        <v>21</v>
      </c>
      <c r="K234" s="9"/>
      <c r="L234" s="9">
        <f>SUM(K222:K233)+SUM(M222:M233)+L218-N234</f>
        <v>185837.71289229288</v>
      </c>
      <c r="M234" s="10"/>
      <c r="N234" s="68">
        <f>MAX(O222:O233)</f>
        <v>0</v>
      </c>
      <c r="O234" s="73"/>
      <c r="P234" s="20"/>
      <c r="Q234" s="20"/>
      <c r="R234" s="20"/>
      <c r="S234" s="21"/>
    </row>
    <row r="235" spans="4:19">
      <c r="D235" s="19"/>
      <c r="E235" s="20"/>
      <c r="F235" s="20"/>
      <c r="G235" s="20"/>
      <c r="H235" s="20"/>
      <c r="I235" s="68"/>
      <c r="J235" s="20"/>
      <c r="K235" s="20"/>
      <c r="L235" s="20"/>
      <c r="M235" s="20"/>
      <c r="N235" s="20"/>
      <c r="O235" s="20"/>
      <c r="P235" s="20"/>
      <c r="Q235" s="20"/>
      <c r="R235" s="20"/>
      <c r="S235" s="21"/>
    </row>
    <row r="236" spans="4:19">
      <c r="D236" s="19"/>
      <c r="E236" s="20"/>
      <c r="F236" s="20"/>
      <c r="G236" s="20"/>
      <c r="H236" s="20"/>
      <c r="I236" s="68"/>
      <c r="J236" s="99" t="s">
        <v>31</v>
      </c>
      <c r="K236" s="100"/>
      <c r="L236" s="100"/>
      <c r="M236" s="101"/>
      <c r="N236" s="74"/>
      <c r="O236" s="84" t="s">
        <v>69</v>
      </c>
      <c r="P236" s="20"/>
      <c r="Q236" s="20"/>
      <c r="R236" s="20"/>
      <c r="S236" s="21"/>
    </row>
    <row r="237" spans="4:19">
      <c r="D237" s="19"/>
      <c r="E237" s="20"/>
      <c r="F237" s="20"/>
      <c r="G237" s="95" t="s">
        <v>81</v>
      </c>
      <c r="H237" s="70" t="s">
        <v>64</v>
      </c>
      <c r="I237" s="68"/>
      <c r="J237" s="1" t="s">
        <v>1</v>
      </c>
      <c r="K237" s="2" t="s">
        <v>14</v>
      </c>
      <c r="L237" s="2" t="s">
        <v>0</v>
      </c>
      <c r="M237" s="3" t="s">
        <v>15</v>
      </c>
      <c r="N237" s="3"/>
      <c r="O237" s="81" t="s">
        <v>68</v>
      </c>
      <c r="P237" s="68"/>
      <c r="Q237" s="68"/>
      <c r="R237" s="20"/>
      <c r="S237" s="21"/>
    </row>
    <row r="238" spans="4:19">
      <c r="D238" s="19"/>
      <c r="E238" s="20"/>
      <c r="F238" s="20"/>
      <c r="G238" s="34">
        <v>8.6999999999999994E-2</v>
      </c>
      <c r="H238" s="71" t="s">
        <v>65</v>
      </c>
      <c r="I238" s="68"/>
      <c r="J238" s="4" t="s">
        <v>2</v>
      </c>
      <c r="K238" s="32"/>
      <c r="L238" s="29">
        <f>$L$234+IF(H238="before 5th",K238,0)</f>
        <v>185837.71289229288</v>
      </c>
      <c r="M238" s="6">
        <f>L238*G238/12</f>
        <v>1347.3234184691235</v>
      </c>
      <c r="N238" s="78">
        <f>IF(O238=MAX($O$238:$O$249),O238,IF(N237=MAX($O$238:$O$249),N237,0))</f>
        <v>0</v>
      </c>
      <c r="O238" s="82"/>
      <c r="P238" s="96"/>
      <c r="Q238" s="68"/>
      <c r="R238" s="20"/>
      <c r="S238" s="21"/>
    </row>
    <row r="239" spans="4:19">
      <c r="D239" s="19" t="str">
        <f>IF($M$9=0,"Withdrawal limit","")</f>
        <v>Withdrawal limit</v>
      </c>
      <c r="E239" s="20"/>
      <c r="F239" s="20">
        <f>IF($M$9=0,50%*MIN(L234,L186),"")</f>
        <v>72346.116607078045</v>
      </c>
      <c r="G239" s="34">
        <v>8.6999999999999994E-2</v>
      </c>
      <c r="H239" s="71" t="s">
        <v>65</v>
      </c>
      <c r="I239" s="68"/>
      <c r="J239" s="4" t="s">
        <v>3</v>
      </c>
      <c r="K239" s="32"/>
      <c r="L239" s="29">
        <f>SUM($K$238:K238)+$L$234+IF(H239="before 5th",K239,0)</f>
        <v>185837.71289229288</v>
      </c>
      <c r="M239" s="6">
        <f t="shared" ref="M239:M249" si="23">L239*G239/12</f>
        <v>1347.3234184691235</v>
      </c>
      <c r="N239" s="78">
        <f t="shared" ref="N239:N249" si="24">IF(O239=MAX($O$238:$O$249),O239,IF(N238=MAX($O$238:$O$249),N238,0))</f>
        <v>0</v>
      </c>
      <c r="O239" s="82"/>
      <c r="P239" s="20" t="s">
        <v>40</v>
      </c>
      <c r="Q239" s="20"/>
      <c r="R239" s="20"/>
      <c r="S239" s="21"/>
    </row>
    <row r="240" spans="4:19">
      <c r="D240" s="19"/>
      <c r="E240" s="20"/>
      <c r="F240" s="20"/>
      <c r="G240" s="34">
        <v>8.6999999999999994E-2</v>
      </c>
      <c r="H240" s="71" t="s">
        <v>65</v>
      </c>
      <c r="I240" s="68"/>
      <c r="J240" s="4" t="s">
        <v>4</v>
      </c>
      <c r="K240" s="32"/>
      <c r="L240" s="29">
        <f>SUM($K$238:K239)+$L$234+IF(H240="before 5th",K240,0)</f>
        <v>185837.71289229288</v>
      </c>
      <c r="M240" s="6">
        <f t="shared" si="23"/>
        <v>1347.3234184691235</v>
      </c>
      <c r="N240" s="78">
        <f t="shared" si="24"/>
        <v>0</v>
      </c>
      <c r="O240" s="82"/>
      <c r="P240" s="33">
        <v>150000</v>
      </c>
      <c r="Q240" s="20"/>
      <c r="R240" s="20"/>
      <c r="S240" s="21"/>
    </row>
    <row r="241" spans="4:20">
      <c r="D241" s="19"/>
      <c r="E241" s="20"/>
      <c r="F241" s="20"/>
      <c r="G241" s="34">
        <v>8.6999999999999994E-2</v>
      </c>
      <c r="H241" s="71" t="s">
        <v>65</v>
      </c>
      <c r="I241" s="68"/>
      <c r="J241" s="4" t="s">
        <v>5</v>
      </c>
      <c r="K241" s="32"/>
      <c r="L241" s="29">
        <f>SUM($K$238:K240)+$L$234+IF(H241="before 5th",K241,0)</f>
        <v>185837.71289229288</v>
      </c>
      <c r="M241" s="6">
        <f t="shared" si="23"/>
        <v>1347.3234184691235</v>
      </c>
      <c r="N241" s="78">
        <f t="shared" si="24"/>
        <v>0</v>
      </c>
      <c r="O241" s="82"/>
      <c r="P241" s="41" t="str">
        <f>IF(SUM(K238:K249)&gt;P240,"Warning: total investment exceeds allowed limit","")</f>
        <v/>
      </c>
      <c r="Q241" s="49"/>
      <c r="R241" s="49"/>
      <c r="S241" s="50"/>
    </row>
    <row r="242" spans="4:20">
      <c r="D242" s="19"/>
      <c r="E242" s="20"/>
      <c r="F242" s="20"/>
      <c r="G242" s="34">
        <v>8.6999999999999994E-2</v>
      </c>
      <c r="H242" s="71" t="s">
        <v>65</v>
      </c>
      <c r="I242" s="68"/>
      <c r="J242" s="4" t="s">
        <v>6</v>
      </c>
      <c r="K242" s="32"/>
      <c r="L242" s="29">
        <f>SUM($K$238:K241)+$L$234+IF(H242="before 5th",K242,0)</f>
        <v>185837.71289229288</v>
      </c>
      <c r="M242" s="6">
        <f t="shared" si="23"/>
        <v>1347.3234184691235</v>
      </c>
      <c r="N242" s="78">
        <f t="shared" si="24"/>
        <v>0</v>
      </c>
      <c r="O242" s="82"/>
      <c r="P242" s="20"/>
      <c r="Q242" s="20"/>
      <c r="R242" s="20"/>
      <c r="S242" s="21"/>
    </row>
    <row r="243" spans="4:20">
      <c r="D243" s="19"/>
      <c r="E243" s="20"/>
      <c r="F243" s="20"/>
      <c r="G243" s="34">
        <v>8.6999999999999994E-2</v>
      </c>
      <c r="H243" s="71" t="s">
        <v>65</v>
      </c>
      <c r="I243" s="68"/>
      <c r="J243" s="4" t="s">
        <v>7</v>
      </c>
      <c r="K243" s="32"/>
      <c r="L243" s="29">
        <f>SUM($K$238:K242)+$L$234+IF(H243="before 5th",K243,0)</f>
        <v>185837.71289229288</v>
      </c>
      <c r="M243" s="6">
        <f t="shared" si="23"/>
        <v>1347.3234184691235</v>
      </c>
      <c r="N243" s="78">
        <f t="shared" si="24"/>
        <v>0</v>
      </c>
      <c r="O243" s="82"/>
      <c r="P243" s="79" t="str">
        <f>IF(N250&gt;F239,"Withdrawal is above limit","")</f>
        <v/>
      </c>
      <c r="Q243" s="75"/>
      <c r="R243" s="75"/>
      <c r="S243" s="80"/>
    </row>
    <row r="244" spans="4:20">
      <c r="D244" s="19"/>
      <c r="E244" s="20"/>
      <c r="F244" s="20"/>
      <c r="G244" s="34">
        <v>8.6999999999999994E-2</v>
      </c>
      <c r="H244" s="71" t="s">
        <v>65</v>
      </c>
      <c r="I244" s="68"/>
      <c r="J244" s="4" t="s">
        <v>8</v>
      </c>
      <c r="K244" s="32"/>
      <c r="L244" s="29">
        <f>SUM($K$238:K243)+$L$234+IF(H244="before 5th",K244,0)</f>
        <v>185837.71289229288</v>
      </c>
      <c r="M244" s="6">
        <f t="shared" si="23"/>
        <v>1347.3234184691235</v>
      </c>
      <c r="N244" s="78">
        <f t="shared" si="24"/>
        <v>0</v>
      </c>
      <c r="O244" s="82"/>
      <c r="P244" s="20"/>
      <c r="Q244" s="20"/>
      <c r="R244" s="20"/>
      <c r="S244" s="21"/>
    </row>
    <row r="245" spans="4:20">
      <c r="D245" s="76"/>
      <c r="E245" s="20"/>
      <c r="F245" s="20"/>
      <c r="G245" s="34">
        <v>8.6999999999999994E-2</v>
      </c>
      <c r="H245" s="71" t="s">
        <v>65</v>
      </c>
      <c r="I245" s="68"/>
      <c r="J245" s="4" t="s">
        <v>9</v>
      </c>
      <c r="K245" s="32"/>
      <c r="L245" s="29">
        <f>SUM($K$238:K244)+$L$234+IF(H245="before 5th",K245,0)</f>
        <v>185837.71289229288</v>
      </c>
      <c r="M245" s="6">
        <f t="shared" si="23"/>
        <v>1347.3234184691235</v>
      </c>
      <c r="N245" s="78">
        <f t="shared" si="24"/>
        <v>0</v>
      </c>
      <c r="O245" s="82"/>
      <c r="P245" s="20"/>
      <c r="Q245" s="20"/>
      <c r="R245" s="20"/>
      <c r="S245" s="21"/>
    </row>
    <row r="246" spans="4:20">
      <c r="D246" s="19"/>
      <c r="E246" s="20"/>
      <c r="F246" s="20"/>
      <c r="G246" s="34">
        <v>8.6999999999999994E-2</v>
      </c>
      <c r="H246" s="71" t="s">
        <v>65</v>
      </c>
      <c r="I246" s="68"/>
      <c r="J246" s="4" t="s">
        <v>10</v>
      </c>
      <c r="K246" s="32"/>
      <c r="L246" s="29">
        <f>SUM($K$238:K245)+$L$234+IF(H246="before 5th",K246,0)</f>
        <v>185837.71289229288</v>
      </c>
      <c r="M246" s="6">
        <f t="shared" si="23"/>
        <v>1347.3234184691235</v>
      </c>
      <c r="N246" s="78">
        <f t="shared" si="24"/>
        <v>0</v>
      </c>
      <c r="O246" s="82"/>
      <c r="P246" s="20"/>
      <c r="Q246" s="20"/>
      <c r="R246" s="20"/>
      <c r="S246" s="21"/>
    </row>
    <row r="247" spans="4:20">
      <c r="D247" s="19"/>
      <c r="E247" s="20"/>
      <c r="F247" s="20"/>
      <c r="G247" s="34">
        <v>8.6999999999999994E-2</v>
      </c>
      <c r="H247" s="71" t="s">
        <v>65</v>
      </c>
      <c r="I247" s="68"/>
      <c r="J247" s="4" t="s">
        <v>11</v>
      </c>
      <c r="K247" s="32"/>
      <c r="L247" s="29">
        <f>SUM($K$238:K246)+$L$234+IF(H247="before 5th",K247,0)</f>
        <v>185837.71289229288</v>
      </c>
      <c r="M247" s="6">
        <f t="shared" si="23"/>
        <v>1347.3234184691235</v>
      </c>
      <c r="N247" s="78">
        <f t="shared" si="24"/>
        <v>0</v>
      </c>
      <c r="O247" s="82"/>
      <c r="P247" s="68"/>
      <c r="Q247" s="68"/>
      <c r="R247" s="20"/>
      <c r="S247" s="21"/>
    </row>
    <row r="248" spans="4:20">
      <c r="D248" s="19"/>
      <c r="E248" s="20"/>
      <c r="F248" s="20"/>
      <c r="G248" s="34">
        <v>8.6999999999999994E-2</v>
      </c>
      <c r="H248" s="71" t="s">
        <v>65</v>
      </c>
      <c r="I248" s="68"/>
      <c r="J248" s="4" t="s">
        <v>12</v>
      </c>
      <c r="K248" s="32"/>
      <c r="L248" s="29">
        <f>SUM($K$238:K247)+$L$234+IF(H248="before 5th",K248,0)</f>
        <v>185837.71289229288</v>
      </c>
      <c r="M248" s="6">
        <f t="shared" si="23"/>
        <v>1347.3234184691235</v>
      </c>
      <c r="N248" s="78">
        <f t="shared" si="24"/>
        <v>0</v>
      </c>
      <c r="O248" s="82"/>
      <c r="P248" s="68"/>
      <c r="Q248" s="68"/>
      <c r="R248" s="20"/>
      <c r="S248" s="21"/>
    </row>
    <row r="249" spans="4:20">
      <c r="D249" s="19"/>
      <c r="E249" s="20"/>
      <c r="F249" s="20"/>
      <c r="G249" s="34">
        <v>8.6999999999999994E-2</v>
      </c>
      <c r="H249" s="71" t="s">
        <v>65</v>
      </c>
      <c r="I249" s="68"/>
      <c r="J249" s="4" t="s">
        <v>13</v>
      </c>
      <c r="K249" s="32"/>
      <c r="L249" s="29">
        <f>SUM($K$238:K248)+$L$234+IF(H249="before 5th",K249,0)</f>
        <v>185837.71289229288</v>
      </c>
      <c r="M249" s="6">
        <f t="shared" si="23"/>
        <v>1347.3234184691235</v>
      </c>
      <c r="N249" s="78">
        <f t="shared" si="24"/>
        <v>0</v>
      </c>
      <c r="O249" s="82"/>
      <c r="P249" s="68"/>
      <c r="Q249" s="68"/>
      <c r="R249" s="20"/>
      <c r="S249" s="21"/>
    </row>
    <row r="250" spans="4:20">
      <c r="D250" s="76"/>
      <c r="E250" s="20"/>
      <c r="F250" s="20"/>
      <c r="G250" s="20"/>
      <c r="H250" s="20"/>
      <c r="I250" s="68"/>
      <c r="J250" s="7" t="s">
        <v>21</v>
      </c>
      <c r="K250" s="9"/>
      <c r="L250" s="9">
        <f>SUM(K238:K249)+SUM(M238:M249)+L234-N250</f>
        <v>202005.59391392235</v>
      </c>
      <c r="M250" s="10"/>
      <c r="N250" s="68">
        <f>MAX(O238:O249)</f>
        <v>0</v>
      </c>
      <c r="O250" s="73"/>
      <c r="P250" s="20"/>
      <c r="Q250" s="20"/>
      <c r="R250" s="20"/>
      <c r="S250" s="21"/>
    </row>
    <row r="251" spans="4:20">
      <c r="D251" s="19"/>
      <c r="E251" s="20"/>
      <c r="F251" s="20"/>
      <c r="G251" s="20"/>
      <c r="H251" s="20"/>
      <c r="I251" s="68"/>
      <c r="J251" s="20"/>
      <c r="K251" s="20"/>
      <c r="L251" s="20"/>
      <c r="M251" s="20"/>
      <c r="N251" s="20"/>
      <c r="O251" s="20"/>
      <c r="P251" s="20"/>
      <c r="Q251" s="20"/>
      <c r="R251" s="20"/>
      <c r="S251" s="21"/>
    </row>
    <row r="252" spans="4:20">
      <c r="D252" s="19"/>
      <c r="E252" s="20"/>
      <c r="F252" s="20"/>
      <c r="G252" s="20"/>
      <c r="H252" s="20"/>
      <c r="I252" s="68"/>
      <c r="J252" s="99" t="s">
        <v>82</v>
      </c>
      <c r="K252" s="100"/>
      <c r="L252" s="100"/>
      <c r="M252" s="101"/>
      <c r="N252" s="74"/>
      <c r="O252" s="84" t="s">
        <v>69</v>
      </c>
      <c r="P252" s="20"/>
      <c r="Q252" s="20"/>
      <c r="R252" s="20"/>
      <c r="S252" s="21"/>
      <c r="T252" s="49"/>
    </row>
    <row r="253" spans="4:20">
      <c r="D253" s="19"/>
      <c r="E253" s="20"/>
      <c r="F253" s="20"/>
      <c r="G253" s="95" t="s">
        <v>81</v>
      </c>
      <c r="H253" s="70" t="s">
        <v>64</v>
      </c>
      <c r="I253" s="68"/>
      <c r="J253" s="1" t="s">
        <v>1</v>
      </c>
      <c r="K253" s="2" t="s">
        <v>14</v>
      </c>
      <c r="L253" s="2" t="s">
        <v>0</v>
      </c>
      <c r="M253" s="3" t="s">
        <v>15</v>
      </c>
      <c r="N253" s="3"/>
      <c r="O253" s="81" t="s">
        <v>68</v>
      </c>
      <c r="P253" s="68"/>
      <c r="Q253" s="68"/>
      <c r="R253" s="20"/>
      <c r="S253" s="21"/>
      <c r="T253" s="49"/>
    </row>
    <row r="254" spans="4:20">
      <c r="D254" s="19"/>
      <c r="E254" s="20"/>
      <c r="F254" s="20"/>
      <c r="G254" s="34">
        <v>8.6999999999999994E-2</v>
      </c>
      <c r="H254" s="71" t="s">
        <v>65</v>
      </c>
      <c r="I254" s="68"/>
      <c r="J254" s="4" t="s">
        <v>2</v>
      </c>
      <c r="K254" s="32"/>
      <c r="L254" s="29">
        <f>$L$234+IF(H254="before 5th",K254,0)</f>
        <v>185837.71289229288</v>
      </c>
      <c r="M254" s="6">
        <f>L254*G254/12</f>
        <v>1347.3234184691235</v>
      </c>
      <c r="N254" s="78">
        <f>IF(O254=MAX($O$238:$O$249),O254,IF(N253=MAX($O$238:$O$249),N253,0))</f>
        <v>0</v>
      </c>
      <c r="O254" s="82"/>
      <c r="P254" s="96"/>
      <c r="Q254" s="68"/>
      <c r="R254" s="20"/>
      <c r="S254" s="21"/>
    </row>
    <row r="255" spans="4:20">
      <c r="D255" s="19" t="str">
        <f>IF($M$9=0,"Withdrawal limit","")</f>
        <v>Withdrawal limit</v>
      </c>
      <c r="E255" s="20"/>
      <c r="F255" s="20">
        <f>IF($M$9=0,50%*MIN(L250,L202),"")</f>
        <v>78640.228751893839</v>
      </c>
      <c r="G255" s="34">
        <v>8.6999999999999994E-2</v>
      </c>
      <c r="H255" s="71" t="s">
        <v>65</v>
      </c>
      <c r="I255" s="68"/>
      <c r="J255" s="4" t="s">
        <v>3</v>
      </c>
      <c r="K255" s="32"/>
      <c r="L255" s="29">
        <f>SUM($K$238:K254)+$L$234+IF(H255="before 5th",K255,0)</f>
        <v>185837.71289229288</v>
      </c>
      <c r="M255" s="6">
        <f t="shared" ref="M255:M265" si="25">L255*G255/12</f>
        <v>1347.3234184691235</v>
      </c>
      <c r="N255" s="78">
        <f t="shared" ref="N255:N265" si="26">IF(O255=MAX($O$238:$O$249),O255,IF(N254=MAX($O$238:$O$249),N254,0))</f>
        <v>0</v>
      </c>
      <c r="O255" s="82"/>
      <c r="P255" s="20" t="s">
        <v>40</v>
      </c>
      <c r="Q255" s="20"/>
      <c r="R255" s="20"/>
      <c r="S255" s="21"/>
    </row>
    <row r="256" spans="4:20">
      <c r="D256" s="19"/>
      <c r="E256" s="20"/>
      <c r="F256" s="20"/>
      <c r="G256" s="34">
        <v>8.6999999999999994E-2</v>
      </c>
      <c r="H256" s="71" t="s">
        <v>65</v>
      </c>
      <c r="I256" s="68"/>
      <c r="J256" s="4" t="s">
        <v>4</v>
      </c>
      <c r="K256" s="32"/>
      <c r="L256" s="29">
        <f>SUM($K$238:K255)+$L$234+IF(H256="before 5th",K256,0)</f>
        <v>185837.71289229288</v>
      </c>
      <c r="M256" s="6">
        <f t="shared" si="25"/>
        <v>1347.3234184691235</v>
      </c>
      <c r="N256" s="78">
        <f t="shared" si="26"/>
        <v>0</v>
      </c>
      <c r="O256" s="82"/>
      <c r="P256" s="33">
        <v>150000</v>
      </c>
      <c r="Q256" s="20"/>
      <c r="R256" s="20"/>
      <c r="S256" s="21"/>
    </row>
    <row r="257" spans="4:19">
      <c r="D257" s="19"/>
      <c r="E257" s="20"/>
      <c r="F257" s="20"/>
      <c r="G257" s="34">
        <v>8.6999999999999994E-2</v>
      </c>
      <c r="H257" s="71" t="s">
        <v>65</v>
      </c>
      <c r="I257" s="68"/>
      <c r="J257" s="4" t="s">
        <v>5</v>
      </c>
      <c r="K257" s="32"/>
      <c r="L257" s="29">
        <f>SUM($K$238:K256)+$L$234+IF(H257="before 5th",K257,0)</f>
        <v>185837.71289229288</v>
      </c>
      <c r="M257" s="6">
        <f t="shared" si="25"/>
        <v>1347.3234184691235</v>
      </c>
      <c r="N257" s="78">
        <f t="shared" si="26"/>
        <v>0</v>
      </c>
      <c r="O257" s="82"/>
      <c r="P257" s="41" t="str">
        <f>IF(SUM(K254:K265)&gt;P256,"Warning: total investment exceeds allowed limit","")</f>
        <v/>
      </c>
      <c r="Q257" s="49"/>
      <c r="R257" s="49"/>
      <c r="S257" s="50"/>
    </row>
    <row r="258" spans="4:19">
      <c r="D258" s="19"/>
      <c r="E258" s="20"/>
      <c r="F258" s="20"/>
      <c r="G258" s="34">
        <v>8.6999999999999994E-2</v>
      </c>
      <c r="H258" s="71" t="s">
        <v>65</v>
      </c>
      <c r="I258" s="68"/>
      <c r="J258" s="4" t="s">
        <v>6</v>
      </c>
      <c r="K258" s="32"/>
      <c r="L258" s="29">
        <f>SUM($K$238:K257)+$L$234+IF(H258="before 5th",K258,0)</f>
        <v>185837.71289229288</v>
      </c>
      <c r="M258" s="6">
        <f t="shared" si="25"/>
        <v>1347.3234184691235</v>
      </c>
      <c r="N258" s="78">
        <f t="shared" si="26"/>
        <v>0</v>
      </c>
      <c r="O258" s="82"/>
      <c r="P258" s="20"/>
      <c r="Q258" s="20"/>
      <c r="R258" s="20"/>
      <c r="S258" s="21"/>
    </row>
    <row r="259" spans="4:19">
      <c r="D259" s="19"/>
      <c r="E259" s="20"/>
      <c r="F259" s="20"/>
      <c r="G259" s="34">
        <v>8.6999999999999994E-2</v>
      </c>
      <c r="H259" s="71" t="s">
        <v>65</v>
      </c>
      <c r="I259" s="68"/>
      <c r="J259" s="4" t="s">
        <v>7</v>
      </c>
      <c r="K259" s="32"/>
      <c r="L259" s="29">
        <f>SUM($K$238:K258)+$L$234+IF(H259="before 5th",K259,0)</f>
        <v>185837.71289229288</v>
      </c>
      <c r="M259" s="6">
        <f t="shared" si="25"/>
        <v>1347.3234184691235</v>
      </c>
      <c r="N259" s="78">
        <f t="shared" si="26"/>
        <v>0</v>
      </c>
      <c r="O259" s="82"/>
      <c r="P259" s="79" t="str">
        <f>IF(N266&gt;F255,"Withdrawal is above limit","")</f>
        <v/>
      </c>
      <c r="Q259" s="75"/>
      <c r="R259" s="75"/>
      <c r="S259" s="80"/>
    </row>
    <row r="260" spans="4:19">
      <c r="D260" s="19"/>
      <c r="E260" s="20"/>
      <c r="F260" s="20"/>
      <c r="G260" s="34">
        <v>8.6999999999999994E-2</v>
      </c>
      <c r="H260" s="71" t="s">
        <v>65</v>
      </c>
      <c r="I260" s="68"/>
      <c r="J260" s="4" t="s">
        <v>8</v>
      </c>
      <c r="K260" s="32"/>
      <c r="L260" s="29">
        <f>SUM($K$238:K259)+$L$234+IF(H260="before 5th",K260,0)</f>
        <v>185837.71289229288</v>
      </c>
      <c r="M260" s="6">
        <f t="shared" si="25"/>
        <v>1347.3234184691235</v>
      </c>
      <c r="N260" s="78">
        <f t="shared" si="26"/>
        <v>0</v>
      </c>
      <c r="O260" s="82"/>
      <c r="P260" s="20"/>
      <c r="Q260" s="20"/>
      <c r="R260" s="20"/>
      <c r="S260" s="21"/>
    </row>
    <row r="261" spans="4:19">
      <c r="D261" s="76"/>
      <c r="E261" s="20"/>
      <c r="F261" s="20"/>
      <c r="G261" s="34">
        <v>8.6999999999999994E-2</v>
      </c>
      <c r="H261" s="71" t="s">
        <v>65</v>
      </c>
      <c r="I261" s="68"/>
      <c r="J261" s="4" t="s">
        <v>9</v>
      </c>
      <c r="K261" s="32"/>
      <c r="L261" s="29">
        <f>SUM($K$238:K260)+$L$234+IF(H261="before 5th",K261,0)</f>
        <v>185837.71289229288</v>
      </c>
      <c r="M261" s="6">
        <f t="shared" si="25"/>
        <v>1347.3234184691235</v>
      </c>
      <c r="N261" s="78">
        <f t="shared" si="26"/>
        <v>0</v>
      </c>
      <c r="O261" s="82"/>
      <c r="P261" s="20"/>
      <c r="Q261" s="20"/>
      <c r="R261" s="20"/>
      <c r="S261" s="21"/>
    </row>
    <row r="262" spans="4:19">
      <c r="D262" s="19"/>
      <c r="E262" s="20"/>
      <c r="F262" s="20"/>
      <c r="G262" s="34">
        <v>8.6999999999999994E-2</v>
      </c>
      <c r="H262" s="71" t="s">
        <v>65</v>
      </c>
      <c r="I262" s="68"/>
      <c r="J262" s="4" t="s">
        <v>10</v>
      </c>
      <c r="K262" s="32"/>
      <c r="L262" s="29">
        <f>SUM($K$238:K261)+$L$234+IF(H262="before 5th",K262,0)</f>
        <v>185837.71289229288</v>
      </c>
      <c r="M262" s="6">
        <f t="shared" si="25"/>
        <v>1347.3234184691235</v>
      </c>
      <c r="N262" s="78">
        <f t="shared" si="26"/>
        <v>0</v>
      </c>
      <c r="O262" s="82"/>
      <c r="P262" s="20"/>
      <c r="Q262" s="20"/>
      <c r="R262" s="20"/>
      <c r="S262" s="21"/>
    </row>
    <row r="263" spans="4:19">
      <c r="D263" s="19"/>
      <c r="E263" s="20"/>
      <c r="F263" s="20"/>
      <c r="G263" s="34">
        <v>8.6999999999999994E-2</v>
      </c>
      <c r="H263" s="71" t="s">
        <v>65</v>
      </c>
      <c r="I263" s="68"/>
      <c r="J263" s="4" t="s">
        <v>11</v>
      </c>
      <c r="K263" s="32"/>
      <c r="L263" s="29">
        <f>SUM($K$238:K262)+$L$234+IF(H263="before 5th",K263,0)</f>
        <v>185837.71289229288</v>
      </c>
      <c r="M263" s="6">
        <f t="shared" si="25"/>
        <v>1347.3234184691235</v>
      </c>
      <c r="N263" s="78">
        <f t="shared" si="26"/>
        <v>0</v>
      </c>
      <c r="O263" s="82"/>
      <c r="P263" s="68"/>
      <c r="Q263" s="68"/>
      <c r="R263" s="20"/>
      <c r="S263" s="21"/>
    </row>
    <row r="264" spans="4:19">
      <c r="D264" s="19"/>
      <c r="E264" s="20"/>
      <c r="F264" s="20"/>
      <c r="G264" s="34">
        <v>8.6999999999999994E-2</v>
      </c>
      <c r="H264" s="71" t="s">
        <v>65</v>
      </c>
      <c r="I264" s="68"/>
      <c r="J264" s="4" t="s">
        <v>12</v>
      </c>
      <c r="K264" s="32"/>
      <c r="L264" s="29">
        <f>SUM($K$238:K263)+$L$234+IF(H264="before 5th",K264,0)</f>
        <v>185837.71289229288</v>
      </c>
      <c r="M264" s="6">
        <f t="shared" si="25"/>
        <v>1347.3234184691235</v>
      </c>
      <c r="N264" s="78">
        <f t="shared" si="26"/>
        <v>0</v>
      </c>
      <c r="O264" s="82"/>
      <c r="P264" s="68"/>
      <c r="Q264" s="68"/>
      <c r="R264" s="20"/>
      <c r="S264" s="21"/>
    </row>
    <row r="265" spans="4:19">
      <c r="D265" s="19"/>
      <c r="E265" s="20"/>
      <c r="F265" s="20"/>
      <c r="G265" s="34">
        <v>8.6999999999999994E-2</v>
      </c>
      <c r="H265" s="71" t="s">
        <v>65</v>
      </c>
      <c r="I265" s="68"/>
      <c r="J265" s="4" t="s">
        <v>13</v>
      </c>
      <c r="K265" s="32"/>
      <c r="L265" s="29">
        <f>SUM($K$238:K264)+$L$234+IF(H265="before 5th",K265,0)</f>
        <v>185837.71289229288</v>
      </c>
      <c r="M265" s="6">
        <f t="shared" si="25"/>
        <v>1347.3234184691235</v>
      </c>
      <c r="N265" s="78">
        <f t="shared" si="26"/>
        <v>0</v>
      </c>
      <c r="O265" s="82"/>
      <c r="P265" s="68"/>
      <c r="Q265" s="68"/>
      <c r="R265" s="20"/>
      <c r="S265" s="21"/>
    </row>
    <row r="266" spans="4:19">
      <c r="D266" s="76"/>
      <c r="E266" s="20"/>
      <c r="F266" s="20"/>
      <c r="G266" s="20"/>
      <c r="H266" s="20"/>
      <c r="I266" s="68"/>
      <c r="J266" s="7" t="s">
        <v>21</v>
      </c>
      <c r="K266" s="9"/>
      <c r="L266" s="9">
        <f>SUM(K254:K265)+SUM(M254:M265)+L250-N266</f>
        <v>218173.47493555181</v>
      </c>
      <c r="M266" s="10"/>
      <c r="N266" s="68">
        <f>MAX(O254:O265)</f>
        <v>0</v>
      </c>
      <c r="O266" s="73"/>
      <c r="P266" s="20"/>
      <c r="Q266" s="20"/>
      <c r="R266" s="20"/>
      <c r="S266" s="21"/>
    </row>
  </sheetData>
  <mergeCells count="19">
    <mergeCell ref="J252:M252"/>
    <mergeCell ref="J92:M92"/>
    <mergeCell ref="D2:S3"/>
    <mergeCell ref="E8:F8"/>
    <mergeCell ref="Q8:R8"/>
    <mergeCell ref="J12:M12"/>
    <mergeCell ref="J28:M28"/>
    <mergeCell ref="J44:M44"/>
    <mergeCell ref="J60:M60"/>
    <mergeCell ref="J76:M76"/>
    <mergeCell ref="J204:M204"/>
    <mergeCell ref="J220:M220"/>
    <mergeCell ref="J236:M236"/>
    <mergeCell ref="J108:M108"/>
    <mergeCell ref="J124:M124"/>
    <mergeCell ref="J140:M140"/>
    <mergeCell ref="J156:M156"/>
    <mergeCell ref="J172:M172"/>
    <mergeCell ref="J188:M188"/>
  </mergeCells>
  <phoneticPr fontId="0" type="noConversion"/>
  <dataValidations disablePrompts="1" count="1">
    <dataValidation type="list" allowBlank="1" showInputMessage="1" showErrorMessage="1" sqref="H14:I14 H238:H249 H206:H217 H190:H201 H174:H185 H158:H169 H142:H153 H126:H137 H110:H121 H94:H105 H78:H89 H62:H73 H46:H57 H30:H41 H15:H25 H222:H233 H254:H265">
      <formula1>$AD$1:$AD$2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D1:AD253"/>
  <sheetViews>
    <sheetView showGridLines="0" workbookViewId="0">
      <selection activeCell="M14" sqref="M14:M25"/>
    </sheetView>
  </sheetViews>
  <sheetFormatPr defaultColWidth="9" defaultRowHeight="15.6"/>
  <cols>
    <col min="1" max="4" width="4.59765625" style="25" customWidth="1"/>
    <col min="5" max="5" width="18.8984375" style="25" bestFit="1" customWidth="1"/>
    <col min="6" max="6" width="10.3984375" style="25" bestFit="1" customWidth="1"/>
    <col min="7" max="7" width="10.3984375" style="25" customWidth="1"/>
    <col min="8" max="8" width="9.69921875" style="25" bestFit="1" customWidth="1"/>
    <col min="9" max="9" width="1.8984375" style="64" customWidth="1"/>
    <col min="10" max="10" width="9" style="25"/>
    <col min="11" max="11" width="9.3984375" style="25" bestFit="1" customWidth="1"/>
    <col min="12" max="12" width="11.8984375" style="25" bestFit="1" customWidth="1"/>
    <col min="13" max="13" width="9.3984375" style="25" bestFit="1" customWidth="1"/>
    <col min="14" max="14" width="9.3984375" style="25" hidden="1" customWidth="1"/>
    <col min="15" max="15" width="11.59765625" style="25" bestFit="1" customWidth="1"/>
    <col min="16" max="16" width="9" style="25"/>
    <col min="17" max="17" width="16.09765625" style="25" bestFit="1" customWidth="1"/>
    <col min="18" max="18" width="13.8984375" style="25" customWidth="1"/>
    <col min="19" max="23" width="4.59765625" style="25" customWidth="1"/>
    <col min="24" max="16384" width="9" style="25"/>
  </cols>
  <sheetData>
    <row r="1" spans="4:30" ht="16.5" customHeight="1" thickBot="1">
      <c r="E1" s="49"/>
      <c r="I1" s="25"/>
      <c r="AD1" s="25" t="s">
        <v>65</v>
      </c>
    </row>
    <row r="2" spans="4:30" ht="16.5" customHeight="1">
      <c r="D2" s="115" t="s">
        <v>67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7"/>
      <c r="AD2" s="25" t="s">
        <v>66</v>
      </c>
    </row>
    <row r="3" spans="4:30" ht="16.5" customHeight="1" thickBot="1">
      <c r="D3" s="118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20"/>
    </row>
    <row r="4" spans="4:30" ht="16.5" customHeight="1">
      <c r="D4" s="16"/>
      <c r="E4" s="17"/>
      <c r="F4" s="17"/>
      <c r="G4" s="17"/>
      <c r="H4" s="17"/>
      <c r="I4" s="67"/>
      <c r="J4" s="56"/>
      <c r="K4" s="17"/>
      <c r="L4" s="17"/>
      <c r="M4" s="17"/>
      <c r="N4" s="17"/>
      <c r="O4" s="17"/>
      <c r="P4" s="17"/>
      <c r="Q4" s="17"/>
      <c r="R4" s="17"/>
      <c r="S4" s="18"/>
    </row>
    <row r="5" spans="4:30" ht="16.5" customHeight="1">
      <c r="D5" s="16"/>
      <c r="E5" s="57" t="s">
        <v>49</v>
      </c>
      <c r="F5" s="17"/>
      <c r="G5" s="17"/>
      <c r="H5" s="17"/>
      <c r="I5" s="67"/>
      <c r="J5" s="66"/>
      <c r="K5" s="17"/>
      <c r="L5" s="17"/>
      <c r="M5" s="17"/>
      <c r="N5" s="17"/>
      <c r="O5" s="17"/>
      <c r="P5" s="17"/>
      <c r="Q5" s="17"/>
      <c r="R5" s="17"/>
      <c r="S5" s="18"/>
    </row>
    <row r="6" spans="4:30" ht="16.5" customHeight="1">
      <c r="D6" s="16"/>
      <c r="E6" s="17"/>
      <c r="F6" s="17"/>
      <c r="G6" s="17"/>
      <c r="H6" s="17"/>
      <c r="I6" s="67"/>
      <c r="J6" s="56"/>
      <c r="K6" s="17"/>
      <c r="L6" s="17"/>
      <c r="M6" s="17"/>
      <c r="N6" s="17"/>
      <c r="O6" s="17"/>
      <c r="P6" s="17"/>
      <c r="Q6" s="17"/>
      <c r="R6" s="17"/>
      <c r="S6" s="18"/>
    </row>
    <row r="7" spans="4:30" ht="16.5" customHeight="1">
      <c r="D7" s="16"/>
      <c r="E7" s="51"/>
      <c r="F7" s="51"/>
      <c r="G7" s="51"/>
      <c r="H7" s="17"/>
      <c r="I7" s="67"/>
      <c r="J7" s="66"/>
      <c r="K7" s="17"/>
      <c r="L7" s="17"/>
      <c r="M7" s="17"/>
      <c r="N7" s="17"/>
      <c r="O7" s="17"/>
      <c r="P7" s="17"/>
      <c r="Q7" s="17"/>
      <c r="R7" s="17"/>
      <c r="S7" s="18"/>
    </row>
    <row r="8" spans="4:30">
      <c r="D8" s="19"/>
      <c r="E8" s="121"/>
      <c r="F8" s="121"/>
      <c r="G8" s="65"/>
      <c r="H8" s="20"/>
      <c r="I8" s="68"/>
      <c r="J8" s="85"/>
      <c r="K8" s="85"/>
      <c r="L8" s="85"/>
      <c r="M8" s="86"/>
      <c r="N8" s="65"/>
      <c r="O8" s="65"/>
      <c r="P8" s="20"/>
      <c r="Q8" s="121"/>
      <c r="R8" s="121"/>
      <c r="S8" s="21"/>
    </row>
    <row r="9" spans="4:30">
      <c r="D9" s="19"/>
      <c r="E9" s="52"/>
      <c r="F9" s="52"/>
      <c r="G9" s="52"/>
      <c r="H9" s="20"/>
      <c r="I9" s="68"/>
      <c r="J9" s="68"/>
      <c r="K9" s="68"/>
      <c r="L9" s="68"/>
      <c r="M9" s="87"/>
      <c r="N9" s="87"/>
      <c r="O9" s="65"/>
      <c r="P9" s="20"/>
      <c r="Q9" s="47"/>
      <c r="R9" s="48"/>
      <c r="S9" s="21"/>
    </row>
    <row r="10" spans="4:30" ht="16.2" thickBot="1">
      <c r="D10" s="19"/>
      <c r="E10" s="52"/>
      <c r="F10" s="53"/>
      <c r="G10" s="53"/>
      <c r="H10" s="20"/>
      <c r="I10" s="68"/>
      <c r="J10" s="20" t="s">
        <v>70</v>
      </c>
      <c r="K10" s="20"/>
      <c r="L10" s="20"/>
      <c r="M10" s="20"/>
      <c r="N10" s="20"/>
      <c r="O10" s="20"/>
      <c r="P10" s="20"/>
      <c r="Q10" s="20"/>
      <c r="R10" s="20"/>
      <c r="S10" s="21"/>
    </row>
    <row r="11" spans="4:30" ht="16.2" thickBot="1">
      <c r="D11" s="19"/>
      <c r="E11" s="20"/>
      <c r="F11" s="20"/>
      <c r="G11" s="20"/>
      <c r="H11" s="20"/>
      <c r="I11" s="68"/>
      <c r="J11" s="88"/>
      <c r="K11" s="89"/>
      <c r="L11" s="91">
        <v>469108</v>
      </c>
      <c r="M11" s="90"/>
      <c r="N11" s="73"/>
      <c r="O11" s="73"/>
      <c r="P11" s="20"/>
      <c r="Q11" s="20"/>
      <c r="R11" s="20"/>
      <c r="S11" s="21"/>
    </row>
    <row r="12" spans="4:30">
      <c r="D12" s="19"/>
      <c r="E12" s="20"/>
      <c r="F12" s="20"/>
      <c r="G12" s="20"/>
      <c r="H12" s="20"/>
      <c r="I12" s="68"/>
      <c r="J12" s="20"/>
      <c r="K12" s="20"/>
      <c r="L12" s="20"/>
      <c r="M12" s="20"/>
      <c r="N12" s="20"/>
      <c r="O12" s="20"/>
      <c r="P12" s="20"/>
      <c r="Q12" s="20"/>
      <c r="R12" s="20"/>
      <c r="S12" s="21"/>
    </row>
    <row r="13" spans="4:30">
      <c r="D13" s="19"/>
      <c r="E13" s="20"/>
      <c r="F13" s="20"/>
      <c r="G13" s="20"/>
      <c r="H13" s="20"/>
      <c r="I13" s="68"/>
      <c r="J13" s="122" t="s">
        <v>71</v>
      </c>
      <c r="K13" s="123"/>
      <c r="L13" s="123"/>
      <c r="M13" s="124"/>
      <c r="N13" s="74"/>
      <c r="O13" s="84" t="s">
        <v>69</v>
      </c>
      <c r="P13" s="20"/>
      <c r="Q13" s="20"/>
      <c r="R13" s="20"/>
      <c r="S13" s="21"/>
    </row>
    <row r="14" spans="4:30">
      <c r="D14" s="19"/>
      <c r="E14" s="20"/>
      <c r="F14" s="20"/>
      <c r="G14" s="95" t="s">
        <v>81</v>
      </c>
      <c r="H14" s="70" t="s">
        <v>64</v>
      </c>
      <c r="I14" s="68"/>
      <c r="J14" s="1" t="s">
        <v>1</v>
      </c>
      <c r="K14" s="2" t="s">
        <v>14</v>
      </c>
      <c r="L14" s="2" t="s">
        <v>0</v>
      </c>
      <c r="M14" s="3" t="s">
        <v>15</v>
      </c>
      <c r="N14" s="3"/>
      <c r="O14" s="97" t="s">
        <v>68</v>
      </c>
      <c r="P14" s="68"/>
      <c r="Q14" s="68"/>
      <c r="R14" s="20"/>
      <c r="S14" s="21"/>
    </row>
    <row r="15" spans="4:30">
      <c r="D15" s="19"/>
      <c r="E15" s="20"/>
      <c r="F15" s="20"/>
      <c r="G15" s="34">
        <v>8.6999999999999994E-2</v>
      </c>
      <c r="H15" s="71" t="s">
        <v>65</v>
      </c>
      <c r="I15" s="68"/>
      <c r="J15" s="4" t="s">
        <v>2</v>
      </c>
      <c r="K15" s="32">
        <v>5000</v>
      </c>
      <c r="L15" s="29">
        <f>$L$11+IF(H15="before 5th",K15,0)</f>
        <v>474108</v>
      </c>
      <c r="M15" s="6">
        <f>L15*G15/12</f>
        <v>3437.2829999999999</v>
      </c>
      <c r="N15" s="78">
        <f t="shared" ref="N15:N26" si="0">IF(O15=MAX($O$15:$O$26),O15,IF(N14=MAX($O$15:$O$26),N14,0))</f>
        <v>0</v>
      </c>
      <c r="O15" s="98"/>
      <c r="P15" s="96"/>
      <c r="Q15" s="68"/>
      <c r="R15" s="20"/>
      <c r="S15" s="21"/>
    </row>
    <row r="16" spans="4:30">
      <c r="D16" s="19" t="str">
        <f>IF($M$9=0,"Withdrawal limit","")</f>
        <v>Withdrawal limit</v>
      </c>
      <c r="E16" s="20"/>
      <c r="F16" s="20">
        <f>60%*$L$11</f>
        <v>281464.8</v>
      </c>
      <c r="G16" s="34">
        <v>8.6999999999999994E-2</v>
      </c>
      <c r="H16" s="71" t="s">
        <v>65</v>
      </c>
      <c r="I16" s="68"/>
      <c r="J16" s="4" t="s">
        <v>3</v>
      </c>
      <c r="K16" s="32">
        <v>5000</v>
      </c>
      <c r="L16" s="29">
        <f>SUM($K$15:K15)+$L$11+IF(H16="before 5th",K16,0)</f>
        <v>479108</v>
      </c>
      <c r="M16" s="6">
        <f t="shared" ref="M16:M26" si="1">L16*G16/12</f>
        <v>3473.5329999999999</v>
      </c>
      <c r="N16" s="78">
        <f t="shared" si="0"/>
        <v>0</v>
      </c>
      <c r="O16" s="82"/>
      <c r="P16" s="20" t="s">
        <v>40</v>
      </c>
      <c r="Q16" s="20"/>
      <c r="R16" s="20"/>
      <c r="S16" s="21"/>
    </row>
    <row r="17" spans="4:19">
      <c r="D17" s="19"/>
      <c r="E17" s="20"/>
      <c r="F17" s="20"/>
      <c r="G17" s="34">
        <v>8.6999999999999994E-2</v>
      </c>
      <c r="H17" s="71" t="s">
        <v>65</v>
      </c>
      <c r="I17" s="68"/>
      <c r="J17" s="4" t="s">
        <v>4</v>
      </c>
      <c r="K17" s="32">
        <v>5000</v>
      </c>
      <c r="L17" s="29">
        <f>SUM($K$15:K16)+$L$11+IF(H17="before 5th",K17,0)</f>
        <v>484108</v>
      </c>
      <c r="M17" s="6">
        <f t="shared" si="1"/>
        <v>3509.7829999999999</v>
      </c>
      <c r="N17" s="78">
        <f t="shared" si="0"/>
        <v>0</v>
      </c>
      <c r="O17" s="82"/>
      <c r="P17" s="83">
        <v>150000</v>
      </c>
      <c r="Q17" s="20"/>
      <c r="R17" s="20"/>
      <c r="S17" s="21"/>
    </row>
    <row r="18" spans="4:19">
      <c r="D18" s="19"/>
      <c r="E18" s="20"/>
      <c r="F18" s="20"/>
      <c r="G18" s="34">
        <v>8.6999999999999994E-2</v>
      </c>
      <c r="H18" s="71" t="s">
        <v>65</v>
      </c>
      <c r="I18" s="68"/>
      <c r="J18" s="4" t="s">
        <v>5</v>
      </c>
      <c r="K18" s="32">
        <v>5000</v>
      </c>
      <c r="L18" s="29">
        <f>SUM($K$15:K17)+$L$11+IF(H18="before 5th",K18,0)</f>
        <v>489108</v>
      </c>
      <c r="M18" s="6">
        <f t="shared" si="1"/>
        <v>3546.0329999999999</v>
      </c>
      <c r="N18" s="78">
        <f t="shared" si="0"/>
        <v>0</v>
      </c>
      <c r="O18" s="82"/>
      <c r="P18" s="41" t="str">
        <f>IF(SUM(K15:K26)&gt;P17,"Warning: total investment exceeds allowed limit","")</f>
        <v/>
      </c>
      <c r="Q18" s="49"/>
      <c r="R18" s="49"/>
      <c r="S18" s="50"/>
    </row>
    <row r="19" spans="4:19">
      <c r="D19" s="19"/>
      <c r="E19" s="20"/>
      <c r="F19" s="20"/>
      <c r="G19" s="34">
        <v>8.6999999999999994E-2</v>
      </c>
      <c r="H19" s="71" t="s">
        <v>65</v>
      </c>
      <c r="I19" s="68"/>
      <c r="J19" s="4" t="s">
        <v>6</v>
      </c>
      <c r="K19" s="32">
        <v>5000</v>
      </c>
      <c r="L19" s="29">
        <f>SUM($K$15:K18)+$L$11+IF(H19="before 5th",K19,0)</f>
        <v>494108</v>
      </c>
      <c r="M19" s="6">
        <f t="shared" si="1"/>
        <v>3582.2829999999999</v>
      </c>
      <c r="N19" s="78">
        <f t="shared" si="0"/>
        <v>0</v>
      </c>
      <c r="O19" s="82"/>
      <c r="P19" s="20"/>
      <c r="Q19" s="20"/>
      <c r="R19" s="20"/>
      <c r="S19" s="21"/>
    </row>
    <row r="20" spans="4:19">
      <c r="D20" s="19"/>
      <c r="E20" s="20"/>
      <c r="F20" s="20"/>
      <c r="G20" s="34">
        <v>8.6999999999999994E-2</v>
      </c>
      <c r="H20" s="71" t="s">
        <v>65</v>
      </c>
      <c r="I20" s="68"/>
      <c r="J20" s="4" t="s">
        <v>7</v>
      </c>
      <c r="K20" s="32">
        <v>5000</v>
      </c>
      <c r="L20" s="29">
        <f>SUM($K$15:K19)+$L$11+IF(H20="before 5th",K20,0)</f>
        <v>499108</v>
      </c>
      <c r="M20" s="6">
        <f t="shared" si="1"/>
        <v>3618.5329999999999</v>
      </c>
      <c r="N20" s="78">
        <f t="shared" si="0"/>
        <v>0</v>
      </c>
      <c r="O20" s="82"/>
      <c r="P20" s="79" t="str">
        <f>IF(N27&gt;F16,"Withdrawal is above limit","")</f>
        <v/>
      </c>
      <c r="Q20" s="75"/>
      <c r="R20" s="75"/>
      <c r="S20" s="80"/>
    </row>
    <row r="21" spans="4:19">
      <c r="D21" s="19"/>
      <c r="E21" s="20"/>
      <c r="F21" s="20"/>
      <c r="G21" s="34">
        <v>8.6999999999999994E-2</v>
      </c>
      <c r="H21" s="71" t="s">
        <v>65</v>
      </c>
      <c r="I21" s="68"/>
      <c r="J21" s="4" t="s">
        <v>8</v>
      </c>
      <c r="K21" s="32">
        <v>5000</v>
      </c>
      <c r="L21" s="29">
        <f>SUM($K$15:K20)+$L$11+IF(H21="before 5th",K21,0)</f>
        <v>504108</v>
      </c>
      <c r="M21" s="6">
        <f t="shared" si="1"/>
        <v>3654.7829999999994</v>
      </c>
      <c r="N21" s="78">
        <f t="shared" si="0"/>
        <v>0</v>
      </c>
      <c r="O21" s="82"/>
      <c r="P21" s="20"/>
      <c r="Q21" s="20"/>
      <c r="R21" s="20"/>
      <c r="S21" s="21"/>
    </row>
    <row r="22" spans="4:19">
      <c r="D22" s="19"/>
      <c r="E22" s="20"/>
      <c r="F22" s="20"/>
      <c r="G22" s="34">
        <v>8.6999999999999994E-2</v>
      </c>
      <c r="H22" s="71" t="s">
        <v>65</v>
      </c>
      <c r="I22" s="68"/>
      <c r="J22" s="4" t="s">
        <v>9</v>
      </c>
      <c r="K22" s="32">
        <v>5000</v>
      </c>
      <c r="L22" s="29">
        <f>SUM($K$15:K21)+$L$11+IF(H22="before 5th",K22,0)</f>
        <v>509108</v>
      </c>
      <c r="M22" s="6">
        <f t="shared" si="1"/>
        <v>3691.0329999999994</v>
      </c>
      <c r="N22" s="78">
        <f t="shared" si="0"/>
        <v>0</v>
      </c>
      <c r="O22" s="82"/>
      <c r="P22" s="20"/>
      <c r="Q22" s="20"/>
      <c r="R22" s="20"/>
      <c r="S22" s="21"/>
    </row>
    <row r="23" spans="4:19">
      <c r="D23" s="19"/>
      <c r="E23" s="20"/>
      <c r="F23" s="20"/>
      <c r="G23" s="34">
        <v>8.6999999999999994E-2</v>
      </c>
      <c r="H23" s="71" t="s">
        <v>65</v>
      </c>
      <c r="I23" s="68"/>
      <c r="J23" s="4" t="s">
        <v>10</v>
      </c>
      <c r="K23" s="32">
        <v>5000</v>
      </c>
      <c r="L23" s="29">
        <f>SUM($K$15:K22)+$L$11+IF(H23="before 5th",K23,0)</f>
        <v>514108</v>
      </c>
      <c r="M23" s="6">
        <f t="shared" si="1"/>
        <v>3727.2829999999994</v>
      </c>
      <c r="N23" s="78">
        <f t="shared" si="0"/>
        <v>0</v>
      </c>
      <c r="O23" s="82"/>
      <c r="P23" s="20"/>
      <c r="Q23" s="20"/>
      <c r="R23" s="20"/>
      <c r="S23" s="21"/>
    </row>
    <row r="24" spans="4:19">
      <c r="D24" s="19"/>
      <c r="E24" s="20"/>
      <c r="F24" s="20"/>
      <c r="G24" s="34">
        <v>8.6999999999999994E-2</v>
      </c>
      <c r="H24" s="71" t="s">
        <v>65</v>
      </c>
      <c r="I24" s="68"/>
      <c r="J24" s="4" t="s">
        <v>11</v>
      </c>
      <c r="K24" s="32">
        <v>5000</v>
      </c>
      <c r="L24" s="29">
        <f>SUM($K$15:K23)+$L$11+IF(H24="before 5th",K24,0)</f>
        <v>519108</v>
      </c>
      <c r="M24" s="6">
        <f t="shared" si="1"/>
        <v>3763.5329999999994</v>
      </c>
      <c r="N24" s="78">
        <f t="shared" si="0"/>
        <v>0</v>
      </c>
      <c r="O24" s="82"/>
      <c r="P24" s="20"/>
      <c r="Q24" s="20"/>
      <c r="R24" s="20"/>
      <c r="S24" s="21"/>
    </row>
    <row r="25" spans="4:19">
      <c r="D25" s="19"/>
      <c r="E25" s="20"/>
      <c r="F25" s="20"/>
      <c r="G25" s="34">
        <v>8.6999999999999994E-2</v>
      </c>
      <c r="H25" s="71" t="s">
        <v>65</v>
      </c>
      <c r="I25" s="68"/>
      <c r="J25" s="4" t="s">
        <v>12</v>
      </c>
      <c r="K25" s="32">
        <v>5000</v>
      </c>
      <c r="L25" s="29">
        <f>SUM($K$15:K24)+$L$11+IF(H25="before 5th",K25,0)</f>
        <v>524108</v>
      </c>
      <c r="M25" s="6">
        <f t="shared" si="1"/>
        <v>3799.7829999999994</v>
      </c>
      <c r="N25" s="78">
        <f t="shared" si="0"/>
        <v>0</v>
      </c>
      <c r="O25" s="82"/>
      <c r="P25" s="20"/>
      <c r="Q25" s="20"/>
      <c r="R25" s="20"/>
      <c r="S25" s="21"/>
    </row>
    <row r="26" spans="4:19">
      <c r="D26" s="19"/>
      <c r="E26" s="20"/>
      <c r="F26" s="20"/>
      <c r="G26" s="34">
        <v>8.6999999999999994E-2</v>
      </c>
      <c r="H26" s="71" t="s">
        <v>65</v>
      </c>
      <c r="I26" s="68"/>
      <c r="J26" s="4" t="s">
        <v>13</v>
      </c>
      <c r="K26" s="32">
        <v>5000</v>
      </c>
      <c r="L26" s="29">
        <f>SUM($K$15:K25)+$L$11+IF(H26="before 5th",K26,0)</f>
        <v>529108</v>
      </c>
      <c r="M26" s="6">
        <f t="shared" si="1"/>
        <v>3836.0329999999994</v>
      </c>
      <c r="N26" s="78">
        <f t="shared" si="0"/>
        <v>0</v>
      </c>
      <c r="O26" s="82"/>
      <c r="P26" s="20"/>
      <c r="Q26" s="20"/>
      <c r="R26" s="20"/>
      <c r="S26" s="21"/>
    </row>
    <row r="27" spans="4:19">
      <c r="D27" s="19"/>
      <c r="E27" s="20"/>
      <c r="F27" s="20"/>
      <c r="G27" s="20"/>
      <c r="H27" s="20"/>
      <c r="I27" s="68"/>
      <c r="J27" s="7" t="s">
        <v>21</v>
      </c>
      <c r="K27" s="9"/>
      <c r="L27" s="9">
        <f>SUM(K15:K26)+SUM(M15:M26)+L11-N27</f>
        <v>572747.89599999995</v>
      </c>
      <c r="M27" s="10"/>
      <c r="N27" s="68">
        <f>MAX(O15:O26)</f>
        <v>0</v>
      </c>
      <c r="O27" s="73"/>
      <c r="P27" s="20"/>
      <c r="Q27" s="20"/>
      <c r="R27" s="20"/>
      <c r="S27" s="21"/>
    </row>
    <row r="28" spans="4:19">
      <c r="D28" s="19"/>
      <c r="E28" s="20"/>
      <c r="F28" s="20"/>
      <c r="G28" s="20"/>
      <c r="H28" s="20"/>
      <c r="I28" s="68"/>
      <c r="J28" s="20"/>
      <c r="K28" s="20"/>
      <c r="L28" s="20"/>
      <c r="M28" s="20"/>
      <c r="N28" s="68"/>
      <c r="O28" s="20"/>
      <c r="P28" s="20"/>
      <c r="Q28" s="20"/>
      <c r="R28" s="20"/>
      <c r="S28" s="21"/>
    </row>
    <row r="29" spans="4:19">
      <c r="D29" s="19"/>
      <c r="E29" s="20"/>
      <c r="F29" s="20"/>
      <c r="G29" s="20"/>
      <c r="H29" s="20"/>
      <c r="I29" s="68"/>
      <c r="J29" s="122" t="s">
        <v>72</v>
      </c>
      <c r="K29" s="123"/>
      <c r="L29" s="123"/>
      <c r="M29" s="124"/>
      <c r="N29" s="74"/>
      <c r="O29" s="84" t="s">
        <v>69</v>
      </c>
      <c r="P29" s="20"/>
      <c r="Q29" s="20"/>
      <c r="R29" s="20"/>
      <c r="S29" s="21"/>
    </row>
    <row r="30" spans="4:19">
      <c r="D30" s="19"/>
      <c r="E30" s="20"/>
      <c r="F30" s="20"/>
      <c r="G30" s="95" t="s">
        <v>81</v>
      </c>
      <c r="H30" s="70" t="s">
        <v>64</v>
      </c>
      <c r="I30" s="68"/>
      <c r="J30" s="1" t="s">
        <v>1</v>
      </c>
      <c r="K30" s="2" t="s">
        <v>14</v>
      </c>
      <c r="L30" s="2" t="s">
        <v>0</v>
      </c>
      <c r="M30" s="3" t="s">
        <v>15</v>
      </c>
      <c r="N30" s="3"/>
      <c r="O30" s="97" t="s">
        <v>68</v>
      </c>
      <c r="P30" s="68"/>
      <c r="Q30" s="68"/>
      <c r="R30" s="20"/>
      <c r="S30" s="21"/>
    </row>
    <row r="31" spans="4:19">
      <c r="D31" s="19"/>
      <c r="E31" s="20"/>
      <c r="F31" s="20"/>
      <c r="G31" s="34">
        <v>8.6999999999999994E-2</v>
      </c>
      <c r="H31" s="71" t="s">
        <v>65</v>
      </c>
      <c r="I31" s="68"/>
      <c r="J31" s="4" t="s">
        <v>2</v>
      </c>
      <c r="K31" s="32">
        <v>5000</v>
      </c>
      <c r="L31" s="29">
        <f>$L$27+IF(H31="before 5th",K31,0)</f>
        <v>577747.89599999995</v>
      </c>
      <c r="M31" s="6">
        <f>L31*G31/12</f>
        <v>4188.6722459999992</v>
      </c>
      <c r="N31" s="78">
        <f t="shared" ref="N31:N42" si="2">IF(O31=MAX($O$31:$O$42),O31,IF(N30=MAX($O$31:$O$42),N30,0))</f>
        <v>0</v>
      </c>
      <c r="O31" s="98"/>
      <c r="P31" s="96"/>
      <c r="Q31" s="68"/>
      <c r="R31" s="20"/>
      <c r="S31" s="21"/>
    </row>
    <row r="32" spans="4:19">
      <c r="D32" s="19" t="str">
        <f>IF($M$9=0,"Withdrawal limit","")</f>
        <v>Withdrawal limit</v>
      </c>
      <c r="E32" s="20"/>
      <c r="F32" s="20">
        <f>60%*$L$11</f>
        <v>281464.8</v>
      </c>
      <c r="G32" s="34">
        <v>8.6999999999999994E-2</v>
      </c>
      <c r="H32" s="71" t="s">
        <v>65</v>
      </c>
      <c r="I32" s="68"/>
      <c r="J32" s="4" t="s">
        <v>3</v>
      </c>
      <c r="K32" s="32">
        <v>5000</v>
      </c>
      <c r="L32" s="29">
        <f>SUM($K$31:K31)+$L$27+IF(H32="before 5th",K32,0)</f>
        <v>582747.89599999995</v>
      </c>
      <c r="M32" s="6">
        <f t="shared" ref="M32:M42" si="3">L32*G32/12</f>
        <v>4224.9222459999992</v>
      </c>
      <c r="N32" s="78">
        <f t="shared" si="2"/>
        <v>0</v>
      </c>
      <c r="O32" s="82"/>
      <c r="P32" s="20" t="s">
        <v>40</v>
      </c>
      <c r="Q32" s="20"/>
      <c r="R32" s="20"/>
      <c r="S32" s="21"/>
    </row>
    <row r="33" spans="4:19">
      <c r="D33" s="19"/>
      <c r="E33" s="20"/>
      <c r="F33" s="20"/>
      <c r="G33" s="34">
        <v>8.6999999999999994E-2</v>
      </c>
      <c r="H33" s="71" t="s">
        <v>65</v>
      </c>
      <c r="I33" s="68"/>
      <c r="J33" s="4" t="s">
        <v>4</v>
      </c>
      <c r="K33" s="32">
        <v>5000</v>
      </c>
      <c r="L33" s="29">
        <f>SUM($K$31:K32)+$L$27+IF(H33="before 5th",K33,0)</f>
        <v>587747.89599999995</v>
      </c>
      <c r="M33" s="6">
        <f t="shared" si="3"/>
        <v>4261.1722459999992</v>
      </c>
      <c r="N33" s="78">
        <f t="shared" si="2"/>
        <v>0</v>
      </c>
      <c r="O33" s="82"/>
      <c r="P33" s="83">
        <v>150000</v>
      </c>
      <c r="Q33" s="20"/>
      <c r="R33" s="20"/>
      <c r="S33" s="21"/>
    </row>
    <row r="34" spans="4:19">
      <c r="D34" s="19"/>
      <c r="E34" s="20"/>
      <c r="F34" s="20"/>
      <c r="G34" s="34">
        <v>8.6999999999999994E-2</v>
      </c>
      <c r="H34" s="71" t="s">
        <v>65</v>
      </c>
      <c r="I34" s="68"/>
      <c r="J34" s="4" t="s">
        <v>5</v>
      </c>
      <c r="K34" s="32">
        <v>5000</v>
      </c>
      <c r="L34" s="29">
        <f>SUM($K$31:K33)+$L$27+IF(H34="before 5th",K34,0)</f>
        <v>592747.89599999995</v>
      </c>
      <c r="M34" s="6">
        <f t="shared" si="3"/>
        <v>4297.4222459999992</v>
      </c>
      <c r="N34" s="78">
        <f t="shared" si="2"/>
        <v>0</v>
      </c>
      <c r="O34" s="82"/>
      <c r="P34" s="41" t="str">
        <f>IF(SUM(K31:K42)&gt;P33,"Warning: total investment exceeds allowed limit","")</f>
        <v/>
      </c>
      <c r="Q34" s="49"/>
      <c r="R34" s="49"/>
      <c r="S34" s="50"/>
    </row>
    <row r="35" spans="4:19">
      <c r="D35" s="19"/>
      <c r="E35" s="20"/>
      <c r="F35" s="20"/>
      <c r="G35" s="34">
        <v>8.6999999999999994E-2</v>
      </c>
      <c r="H35" s="71" t="s">
        <v>65</v>
      </c>
      <c r="I35" s="68"/>
      <c r="J35" s="4" t="s">
        <v>6</v>
      </c>
      <c r="K35" s="32">
        <v>5000</v>
      </c>
      <c r="L35" s="29">
        <f>SUM($K$31:K34)+$L$27+IF(H35="before 5th",K35,0)</f>
        <v>597747.89599999995</v>
      </c>
      <c r="M35" s="6">
        <f t="shared" si="3"/>
        <v>4333.6722459999992</v>
      </c>
      <c r="N35" s="78">
        <f t="shared" si="2"/>
        <v>0</v>
      </c>
      <c r="O35" s="82"/>
      <c r="P35" s="20"/>
      <c r="Q35" s="20"/>
      <c r="R35" s="20"/>
      <c r="S35" s="21"/>
    </row>
    <row r="36" spans="4:19">
      <c r="D36" s="19"/>
      <c r="E36" s="20"/>
      <c r="F36" s="20"/>
      <c r="G36" s="34">
        <v>8.6999999999999994E-2</v>
      </c>
      <c r="H36" s="71" t="s">
        <v>65</v>
      </c>
      <c r="I36" s="68"/>
      <c r="J36" s="4" t="s">
        <v>7</v>
      </c>
      <c r="K36" s="32">
        <v>5000</v>
      </c>
      <c r="L36" s="29">
        <f>SUM($K$31:K35)+$L$27+IF(H36="before 5th",K36,0)</f>
        <v>602747.89599999995</v>
      </c>
      <c r="M36" s="6">
        <f t="shared" si="3"/>
        <v>4369.9222459999992</v>
      </c>
      <c r="N36" s="78">
        <f t="shared" si="2"/>
        <v>0</v>
      </c>
      <c r="O36" s="82"/>
      <c r="P36" s="79" t="str">
        <f>IF(N43&gt;F32,"Withdrawal is above limit","")</f>
        <v/>
      </c>
      <c r="Q36" s="75"/>
      <c r="R36" s="75"/>
      <c r="S36" s="80"/>
    </row>
    <row r="37" spans="4:19">
      <c r="D37" s="19"/>
      <c r="E37" s="20"/>
      <c r="F37" s="20"/>
      <c r="G37" s="34">
        <v>8.6999999999999994E-2</v>
      </c>
      <c r="H37" s="71" t="s">
        <v>65</v>
      </c>
      <c r="I37" s="68"/>
      <c r="J37" s="4" t="s">
        <v>8</v>
      </c>
      <c r="K37" s="32">
        <v>5000</v>
      </c>
      <c r="L37" s="29">
        <f>SUM($K$31:K36)+$L$27+IF(H37="before 5th",K37,0)</f>
        <v>607747.89599999995</v>
      </c>
      <c r="M37" s="6">
        <f t="shared" si="3"/>
        <v>4406.1722459999992</v>
      </c>
      <c r="N37" s="78">
        <f t="shared" si="2"/>
        <v>0</v>
      </c>
      <c r="O37" s="82"/>
      <c r="P37" s="20"/>
      <c r="Q37" s="20"/>
      <c r="R37" s="20"/>
      <c r="S37" s="21"/>
    </row>
    <row r="38" spans="4:19">
      <c r="D38" s="19"/>
      <c r="E38" s="20"/>
      <c r="F38" s="20"/>
      <c r="G38" s="34">
        <v>8.6999999999999994E-2</v>
      </c>
      <c r="H38" s="71" t="s">
        <v>65</v>
      </c>
      <c r="I38" s="68"/>
      <c r="J38" s="4" t="s">
        <v>9</v>
      </c>
      <c r="K38" s="32">
        <v>5000</v>
      </c>
      <c r="L38" s="29">
        <f>SUM($K$31:K37)+$L$27+IF(H38="before 5th",K38,0)</f>
        <v>612747.89599999995</v>
      </c>
      <c r="M38" s="6">
        <f t="shared" si="3"/>
        <v>4442.4222459999992</v>
      </c>
      <c r="N38" s="78">
        <f t="shared" si="2"/>
        <v>0</v>
      </c>
      <c r="O38" s="82"/>
      <c r="P38" s="20"/>
      <c r="Q38" s="20"/>
      <c r="R38" s="20"/>
      <c r="S38" s="21"/>
    </row>
    <row r="39" spans="4:19">
      <c r="D39" s="19"/>
      <c r="E39" s="20"/>
      <c r="F39" s="20"/>
      <c r="G39" s="34">
        <v>8.6999999999999994E-2</v>
      </c>
      <c r="H39" s="71" t="s">
        <v>65</v>
      </c>
      <c r="I39" s="68"/>
      <c r="J39" s="4" t="s">
        <v>10</v>
      </c>
      <c r="K39" s="32">
        <v>5000</v>
      </c>
      <c r="L39" s="29">
        <f>SUM($K$31:K38)+$L$27+IF(H39="before 5th",K39,0)</f>
        <v>617747.89599999995</v>
      </c>
      <c r="M39" s="6">
        <f t="shared" si="3"/>
        <v>4478.6722459999992</v>
      </c>
      <c r="N39" s="78">
        <f t="shared" si="2"/>
        <v>0</v>
      </c>
      <c r="O39" s="82"/>
      <c r="P39" s="20"/>
      <c r="Q39" s="20"/>
      <c r="R39" s="20"/>
      <c r="S39" s="21"/>
    </row>
    <row r="40" spans="4:19">
      <c r="D40" s="19"/>
      <c r="E40" s="20"/>
      <c r="F40" s="20"/>
      <c r="G40" s="34">
        <v>8.6999999999999994E-2</v>
      </c>
      <c r="H40" s="71" t="s">
        <v>65</v>
      </c>
      <c r="I40" s="68"/>
      <c r="J40" s="4" t="s">
        <v>11</v>
      </c>
      <c r="K40" s="32">
        <v>5000</v>
      </c>
      <c r="L40" s="29">
        <f>SUM($K$31:K39)+$L$27+IF(H40="before 5th",K40,0)</f>
        <v>622747.89599999995</v>
      </c>
      <c r="M40" s="6">
        <f t="shared" si="3"/>
        <v>4514.9222459999992</v>
      </c>
      <c r="N40" s="78">
        <f t="shared" si="2"/>
        <v>0</v>
      </c>
      <c r="O40" s="82"/>
      <c r="P40" s="68"/>
      <c r="Q40" s="68"/>
      <c r="R40" s="20"/>
      <c r="S40" s="21"/>
    </row>
    <row r="41" spans="4:19">
      <c r="D41" s="19"/>
      <c r="E41" s="20"/>
      <c r="F41" s="20"/>
      <c r="G41" s="34">
        <v>8.6999999999999994E-2</v>
      </c>
      <c r="H41" s="71" t="s">
        <v>65</v>
      </c>
      <c r="I41" s="68"/>
      <c r="J41" s="4" t="s">
        <v>12</v>
      </c>
      <c r="K41" s="32">
        <v>5000</v>
      </c>
      <c r="L41" s="29">
        <f>SUM($K$31:K40)+$L$27+IF(H41="before 5th",K41,0)</f>
        <v>627747.89599999995</v>
      </c>
      <c r="M41" s="6">
        <f t="shared" si="3"/>
        <v>4551.1722459999992</v>
      </c>
      <c r="N41" s="78">
        <f t="shared" si="2"/>
        <v>0</v>
      </c>
      <c r="O41" s="82"/>
      <c r="P41" s="68"/>
      <c r="Q41" s="68"/>
      <c r="R41" s="20"/>
      <c r="S41" s="21"/>
    </row>
    <row r="42" spans="4:19">
      <c r="D42" s="19"/>
      <c r="E42" s="20"/>
      <c r="F42" s="20"/>
      <c r="G42" s="34">
        <v>8.6999999999999994E-2</v>
      </c>
      <c r="H42" s="71" t="s">
        <v>65</v>
      </c>
      <c r="I42" s="68"/>
      <c r="J42" s="4" t="s">
        <v>13</v>
      </c>
      <c r="K42" s="32">
        <v>5000</v>
      </c>
      <c r="L42" s="29">
        <f>SUM($K$31:K41)+$L$27+IF(H42="before 5th",K42,0)</f>
        <v>632747.89599999995</v>
      </c>
      <c r="M42" s="6">
        <f t="shared" si="3"/>
        <v>4587.4222459999992</v>
      </c>
      <c r="N42" s="78">
        <f t="shared" si="2"/>
        <v>0</v>
      </c>
      <c r="O42" s="82"/>
      <c r="P42" s="68"/>
      <c r="Q42" s="68"/>
      <c r="R42" s="20"/>
      <c r="S42" s="21"/>
    </row>
    <row r="43" spans="4:19">
      <c r="D43" s="19"/>
      <c r="E43" s="20"/>
      <c r="F43" s="20"/>
      <c r="G43" s="20"/>
      <c r="H43" s="20"/>
      <c r="I43" s="68"/>
      <c r="J43" s="7" t="s">
        <v>21</v>
      </c>
      <c r="K43" s="9"/>
      <c r="L43" s="9">
        <f>SUM(K31:K42)+SUM(M31:M42)+L27-N43</f>
        <v>685404.46295199997</v>
      </c>
      <c r="M43" s="10"/>
      <c r="N43" s="68">
        <f>MAX(O31:O42)</f>
        <v>0</v>
      </c>
      <c r="O43" s="73"/>
      <c r="P43" s="20"/>
      <c r="Q43" s="20"/>
      <c r="R43" s="20"/>
      <c r="S43" s="21"/>
    </row>
    <row r="44" spans="4:19">
      <c r="D44" s="19"/>
      <c r="E44" s="20"/>
      <c r="F44" s="20"/>
      <c r="G44" s="20"/>
      <c r="H44" s="20"/>
      <c r="I44" s="68"/>
      <c r="J44" s="20"/>
      <c r="K44" s="20"/>
      <c r="L44" s="20"/>
      <c r="M44" s="20"/>
      <c r="N44" s="20"/>
      <c r="O44" s="20"/>
      <c r="P44" s="20"/>
      <c r="Q44" s="20"/>
      <c r="R44" s="20"/>
      <c r="S44" s="21"/>
    </row>
    <row r="45" spans="4:19">
      <c r="D45" s="19"/>
      <c r="E45" s="20"/>
      <c r="F45" s="20"/>
      <c r="G45" s="20"/>
      <c r="H45" s="20"/>
      <c r="I45" s="68"/>
      <c r="J45" s="122" t="s">
        <v>73</v>
      </c>
      <c r="K45" s="123"/>
      <c r="L45" s="123"/>
      <c r="M45" s="124"/>
      <c r="N45" s="74"/>
      <c r="O45" s="84" t="s">
        <v>69</v>
      </c>
      <c r="P45" s="20"/>
      <c r="Q45" s="20"/>
      <c r="R45" s="20"/>
      <c r="S45" s="21"/>
    </row>
    <row r="46" spans="4:19">
      <c r="D46" s="19"/>
      <c r="E46" s="20"/>
      <c r="F46" s="20"/>
      <c r="G46" s="95" t="s">
        <v>81</v>
      </c>
      <c r="H46" s="70" t="s">
        <v>64</v>
      </c>
      <c r="I46" s="68"/>
      <c r="J46" s="1" t="s">
        <v>1</v>
      </c>
      <c r="K46" s="2" t="s">
        <v>14</v>
      </c>
      <c r="L46" s="2" t="s">
        <v>0</v>
      </c>
      <c r="M46" s="3" t="s">
        <v>15</v>
      </c>
      <c r="N46" s="3"/>
      <c r="O46" s="97" t="s">
        <v>68</v>
      </c>
      <c r="P46" s="68"/>
      <c r="Q46" s="68"/>
      <c r="R46" s="20"/>
      <c r="S46" s="21"/>
    </row>
    <row r="47" spans="4:19">
      <c r="D47" s="19"/>
      <c r="E47" s="20"/>
      <c r="F47" s="20"/>
      <c r="G47" s="34">
        <v>8.6999999999999994E-2</v>
      </c>
      <c r="H47" s="71" t="s">
        <v>65</v>
      </c>
      <c r="I47" s="68"/>
      <c r="J47" s="4" t="s">
        <v>2</v>
      </c>
      <c r="K47" s="32">
        <v>5000</v>
      </c>
      <c r="L47" s="29">
        <f>$L$43+IF(H47="before 5th",K47,0)</f>
        <v>690404.46295199997</v>
      </c>
      <c r="M47" s="6">
        <f>L47*G47/12</f>
        <v>5005.4323564019996</v>
      </c>
      <c r="N47" s="78">
        <f t="shared" ref="N47:N58" si="4">IF(O47=MAX($O$47:$O$58),O47,IF(N46=MAX($O$47:$O$58),N46,0))</f>
        <v>0</v>
      </c>
      <c r="O47" s="98"/>
      <c r="P47" s="96"/>
      <c r="Q47" s="68"/>
      <c r="R47" s="20"/>
      <c r="S47" s="21"/>
    </row>
    <row r="48" spans="4:19">
      <c r="D48" s="19" t="str">
        <f>IF($M$9=0,"Withdrawal limit","")</f>
        <v>Withdrawal limit</v>
      </c>
      <c r="E48" s="20"/>
      <c r="F48" s="20">
        <f>60%*$L$11</f>
        <v>281464.8</v>
      </c>
      <c r="G48" s="34">
        <v>8.6999999999999994E-2</v>
      </c>
      <c r="H48" s="71" t="s">
        <v>65</v>
      </c>
      <c r="I48" s="68"/>
      <c r="J48" s="4" t="s">
        <v>3</v>
      </c>
      <c r="K48" s="32">
        <v>5000</v>
      </c>
      <c r="L48" s="29">
        <f>SUM($K$47:K47)+$L$43+IF(H48="before 5th",K48,0)</f>
        <v>695404.46295199997</v>
      </c>
      <c r="M48" s="6">
        <f t="shared" ref="M48:M58" si="5">L48*G48/12</f>
        <v>5041.6823564019996</v>
      </c>
      <c r="N48" s="78">
        <f t="shared" si="4"/>
        <v>0</v>
      </c>
      <c r="O48" s="82"/>
      <c r="P48" s="20" t="s">
        <v>40</v>
      </c>
      <c r="Q48" s="20"/>
      <c r="R48" s="20"/>
      <c r="S48" s="21"/>
    </row>
    <row r="49" spans="4:19">
      <c r="D49" s="19"/>
      <c r="E49" s="20"/>
      <c r="F49" s="20"/>
      <c r="G49" s="34">
        <v>8.6999999999999994E-2</v>
      </c>
      <c r="H49" s="71" t="s">
        <v>65</v>
      </c>
      <c r="I49" s="68"/>
      <c r="J49" s="4" t="s">
        <v>4</v>
      </c>
      <c r="K49" s="32">
        <v>5000</v>
      </c>
      <c r="L49" s="29">
        <f>SUM($K$47:K48)+$L$43+IF(H49="before 5th",K49,0)</f>
        <v>700404.46295199997</v>
      </c>
      <c r="M49" s="6">
        <f t="shared" si="5"/>
        <v>5077.9323564019996</v>
      </c>
      <c r="N49" s="78">
        <f t="shared" si="4"/>
        <v>0</v>
      </c>
      <c r="O49" s="82"/>
      <c r="P49" s="83">
        <v>150000</v>
      </c>
      <c r="Q49" s="20"/>
      <c r="R49" s="20"/>
      <c r="S49" s="21"/>
    </row>
    <row r="50" spans="4:19">
      <c r="D50" s="19"/>
      <c r="E50" s="20"/>
      <c r="F50" s="20"/>
      <c r="G50" s="34">
        <v>8.6999999999999994E-2</v>
      </c>
      <c r="H50" s="71" t="s">
        <v>65</v>
      </c>
      <c r="I50" s="68"/>
      <c r="J50" s="4" t="s">
        <v>5</v>
      </c>
      <c r="K50" s="32">
        <v>5000</v>
      </c>
      <c r="L50" s="29">
        <f>SUM($K$47:K49)+$L$43+IF(H50="before 5th",K50,0)</f>
        <v>705404.46295199997</v>
      </c>
      <c r="M50" s="6">
        <f t="shared" si="5"/>
        <v>5114.1823564019996</v>
      </c>
      <c r="N50" s="78">
        <f t="shared" si="4"/>
        <v>0</v>
      </c>
      <c r="O50" s="82"/>
      <c r="P50" s="41" t="str">
        <f>IF(SUM(K47:K58)&gt;P49,"Warning: total investment exceeds allowed limit","")</f>
        <v/>
      </c>
      <c r="Q50" s="49"/>
      <c r="R50" s="49"/>
      <c r="S50" s="50"/>
    </row>
    <row r="51" spans="4:19">
      <c r="D51" s="19"/>
      <c r="E51" s="20"/>
      <c r="F51" s="20"/>
      <c r="G51" s="34">
        <v>8.6999999999999994E-2</v>
      </c>
      <c r="H51" s="71" t="s">
        <v>65</v>
      </c>
      <c r="I51" s="68"/>
      <c r="J51" s="4" t="s">
        <v>6</v>
      </c>
      <c r="K51" s="32">
        <v>5000</v>
      </c>
      <c r="L51" s="29">
        <f>SUM($K$47:K50)+$L$43+IF(H51="before 5th",K51,0)</f>
        <v>710404.46295199997</v>
      </c>
      <c r="M51" s="6">
        <f t="shared" si="5"/>
        <v>5150.4323564019996</v>
      </c>
      <c r="N51" s="78">
        <f t="shared" si="4"/>
        <v>0</v>
      </c>
      <c r="O51" s="82"/>
      <c r="P51" s="20"/>
      <c r="Q51" s="20"/>
      <c r="R51" s="20"/>
      <c r="S51" s="21"/>
    </row>
    <row r="52" spans="4:19">
      <c r="D52" s="19"/>
      <c r="E52" s="20"/>
      <c r="F52" s="20"/>
      <c r="G52" s="34">
        <v>8.6999999999999994E-2</v>
      </c>
      <c r="H52" s="71" t="s">
        <v>65</v>
      </c>
      <c r="I52" s="68"/>
      <c r="J52" s="4" t="s">
        <v>7</v>
      </c>
      <c r="K52" s="32">
        <v>5000</v>
      </c>
      <c r="L52" s="29">
        <f>SUM($K$47:K51)+$L$43+IF(H52="before 5th",K52,0)</f>
        <v>715404.46295199997</v>
      </c>
      <c r="M52" s="6">
        <f t="shared" si="5"/>
        <v>5186.6823564019996</v>
      </c>
      <c r="N52" s="78">
        <f t="shared" si="4"/>
        <v>0</v>
      </c>
      <c r="O52" s="82"/>
      <c r="P52" s="79" t="str">
        <f>IF(N59&gt;F48,"Withdrawal is above limit","")</f>
        <v/>
      </c>
      <c r="Q52" s="75"/>
      <c r="R52" s="75"/>
      <c r="S52" s="80"/>
    </row>
    <row r="53" spans="4:19">
      <c r="D53" s="19"/>
      <c r="E53" s="20"/>
      <c r="F53" s="20"/>
      <c r="G53" s="34">
        <v>8.6999999999999994E-2</v>
      </c>
      <c r="H53" s="71" t="s">
        <v>65</v>
      </c>
      <c r="I53" s="68"/>
      <c r="J53" s="4" t="s">
        <v>8</v>
      </c>
      <c r="K53" s="32">
        <v>5000</v>
      </c>
      <c r="L53" s="29">
        <f>SUM($K$47:K52)+$L$43+IF(H53="before 5th",K53,0)</f>
        <v>720404.46295199997</v>
      </c>
      <c r="M53" s="6">
        <f t="shared" si="5"/>
        <v>5222.9323564019996</v>
      </c>
      <c r="N53" s="78">
        <f t="shared" si="4"/>
        <v>0</v>
      </c>
      <c r="O53" s="82"/>
      <c r="P53" s="20"/>
      <c r="Q53" s="20"/>
      <c r="R53" s="20"/>
      <c r="S53" s="21"/>
    </row>
    <row r="54" spans="4:19">
      <c r="D54" s="19"/>
      <c r="E54" s="20"/>
      <c r="F54" s="20"/>
      <c r="G54" s="34">
        <v>8.6999999999999994E-2</v>
      </c>
      <c r="H54" s="71" t="s">
        <v>65</v>
      </c>
      <c r="I54" s="68"/>
      <c r="J54" s="4" t="s">
        <v>9</v>
      </c>
      <c r="K54" s="32">
        <v>5000</v>
      </c>
      <c r="L54" s="29">
        <f>SUM($K$47:K53)+$L$43+IF(H54="before 5th",K54,0)</f>
        <v>725404.46295199997</v>
      </c>
      <c r="M54" s="6">
        <f t="shared" si="5"/>
        <v>5259.1823564019996</v>
      </c>
      <c r="N54" s="78">
        <f t="shared" si="4"/>
        <v>0</v>
      </c>
      <c r="O54" s="82"/>
      <c r="P54" s="20"/>
      <c r="Q54" s="20"/>
      <c r="R54" s="20"/>
      <c r="S54" s="21"/>
    </row>
    <row r="55" spans="4:19">
      <c r="D55" s="19"/>
      <c r="E55" s="20"/>
      <c r="F55" s="20"/>
      <c r="G55" s="34">
        <v>8.6999999999999994E-2</v>
      </c>
      <c r="H55" s="71" t="s">
        <v>65</v>
      </c>
      <c r="I55" s="68"/>
      <c r="J55" s="4" t="s">
        <v>10</v>
      </c>
      <c r="K55" s="32">
        <v>5000</v>
      </c>
      <c r="L55" s="29">
        <f>SUM($K$47:K54)+$L$43+IF(H55="before 5th",K55,0)</f>
        <v>730404.46295199997</v>
      </c>
      <c r="M55" s="6">
        <f t="shared" si="5"/>
        <v>5295.4323564019996</v>
      </c>
      <c r="N55" s="78">
        <f t="shared" si="4"/>
        <v>0</v>
      </c>
      <c r="O55" s="82"/>
      <c r="P55" s="20"/>
      <c r="Q55" s="20"/>
      <c r="R55" s="20"/>
      <c r="S55" s="21"/>
    </row>
    <row r="56" spans="4:19">
      <c r="D56" s="19"/>
      <c r="E56" s="20"/>
      <c r="F56" s="20"/>
      <c r="G56" s="34">
        <v>8.6999999999999994E-2</v>
      </c>
      <c r="H56" s="71" t="s">
        <v>65</v>
      </c>
      <c r="I56" s="68"/>
      <c r="J56" s="4" t="s">
        <v>11</v>
      </c>
      <c r="K56" s="32">
        <v>5000</v>
      </c>
      <c r="L56" s="29">
        <f>SUM($K$47:K55)+$L$43+IF(H56="before 5th",K56,0)</f>
        <v>735404.46295199997</v>
      </c>
      <c r="M56" s="6">
        <f t="shared" si="5"/>
        <v>5331.6823564019996</v>
      </c>
      <c r="N56" s="78">
        <f t="shared" si="4"/>
        <v>0</v>
      </c>
      <c r="O56" s="82"/>
      <c r="P56" s="68"/>
      <c r="Q56" s="68"/>
      <c r="R56" s="20"/>
      <c r="S56" s="21"/>
    </row>
    <row r="57" spans="4:19">
      <c r="D57" s="19"/>
      <c r="E57" s="20"/>
      <c r="F57" s="20"/>
      <c r="G57" s="34">
        <v>8.6999999999999994E-2</v>
      </c>
      <c r="H57" s="71" t="s">
        <v>65</v>
      </c>
      <c r="I57" s="68"/>
      <c r="J57" s="4" t="s">
        <v>12</v>
      </c>
      <c r="K57" s="32">
        <v>5000</v>
      </c>
      <c r="L57" s="29">
        <f>SUM($K$47:K56)+$L$43+IF(H57="before 5th",K57,0)</f>
        <v>740404.46295199997</v>
      </c>
      <c r="M57" s="6">
        <f t="shared" si="5"/>
        <v>5367.9323564019996</v>
      </c>
      <c r="N57" s="78">
        <f t="shared" si="4"/>
        <v>0</v>
      </c>
      <c r="O57" s="82"/>
      <c r="P57" s="68"/>
      <c r="Q57" s="68"/>
      <c r="R57" s="20"/>
      <c r="S57" s="21"/>
    </row>
    <row r="58" spans="4:19">
      <c r="D58" s="19"/>
      <c r="E58" s="20"/>
      <c r="F58" s="20"/>
      <c r="G58" s="34">
        <v>8.6999999999999994E-2</v>
      </c>
      <c r="H58" s="71" t="s">
        <v>65</v>
      </c>
      <c r="I58" s="68"/>
      <c r="J58" s="4" t="s">
        <v>13</v>
      </c>
      <c r="K58" s="32">
        <v>5000</v>
      </c>
      <c r="L58" s="29">
        <f>SUM($K$47:K57)+$L$43+IF(H58="before 5th",K58,0)</f>
        <v>745404.46295199997</v>
      </c>
      <c r="M58" s="6">
        <f t="shared" si="5"/>
        <v>5404.1823564019996</v>
      </c>
      <c r="N58" s="78">
        <f t="shared" si="4"/>
        <v>0</v>
      </c>
      <c r="O58" s="82"/>
      <c r="P58" s="68"/>
      <c r="Q58" s="68"/>
      <c r="R58" s="20"/>
      <c r="S58" s="21"/>
    </row>
    <row r="59" spans="4:19">
      <c r="D59" s="19"/>
      <c r="E59" s="20"/>
      <c r="F59" s="20"/>
      <c r="G59" s="20"/>
      <c r="H59" s="20"/>
      <c r="I59" s="68"/>
      <c r="J59" s="7" t="s">
        <v>21</v>
      </c>
      <c r="K59" s="9"/>
      <c r="L59" s="9">
        <f>SUM(K47:K58)+SUM(M47:M58)+L43-N59</f>
        <v>807862.15122882393</v>
      </c>
      <c r="M59" s="10"/>
      <c r="N59" s="68">
        <f>MAX(O47:O58)</f>
        <v>0</v>
      </c>
      <c r="O59" s="73"/>
      <c r="P59" s="20"/>
      <c r="Q59" s="20"/>
      <c r="R59" s="20"/>
      <c r="S59" s="21"/>
    </row>
    <row r="60" spans="4:19">
      <c r="D60" s="19"/>
      <c r="E60" s="20"/>
      <c r="F60" s="20"/>
      <c r="G60" s="20"/>
      <c r="H60" s="20"/>
      <c r="I60" s="68"/>
      <c r="J60" s="20"/>
      <c r="K60" s="20"/>
      <c r="L60" s="20"/>
      <c r="M60" s="20"/>
      <c r="N60" s="20"/>
      <c r="O60" s="20"/>
      <c r="P60" s="20"/>
      <c r="Q60" s="20"/>
      <c r="R60" s="20"/>
      <c r="S60" s="21"/>
    </row>
    <row r="61" spans="4:19">
      <c r="D61" s="19"/>
      <c r="E61" s="20"/>
      <c r="F61" s="20"/>
      <c r="G61" s="20"/>
      <c r="H61" s="20"/>
      <c r="I61" s="68"/>
      <c r="J61" s="122" t="s">
        <v>74</v>
      </c>
      <c r="K61" s="123"/>
      <c r="L61" s="123"/>
      <c r="M61" s="124"/>
      <c r="N61" s="74"/>
      <c r="O61" s="84" t="s">
        <v>69</v>
      </c>
      <c r="P61" s="20"/>
      <c r="Q61" s="20"/>
      <c r="R61" s="20"/>
      <c r="S61" s="21"/>
    </row>
    <row r="62" spans="4:19">
      <c r="D62" s="19"/>
      <c r="E62" s="20"/>
      <c r="F62" s="20"/>
      <c r="G62" s="95" t="s">
        <v>81</v>
      </c>
      <c r="H62" s="70" t="s">
        <v>64</v>
      </c>
      <c r="I62" s="68"/>
      <c r="J62" s="1" t="s">
        <v>1</v>
      </c>
      <c r="K62" s="2" t="s">
        <v>14</v>
      </c>
      <c r="L62" s="2" t="s">
        <v>0</v>
      </c>
      <c r="M62" s="3" t="s">
        <v>15</v>
      </c>
      <c r="N62" s="3"/>
      <c r="O62" s="97" t="s">
        <v>68</v>
      </c>
      <c r="P62" s="68"/>
      <c r="Q62" s="68"/>
      <c r="R62" s="20"/>
      <c r="S62" s="21"/>
    </row>
    <row r="63" spans="4:19">
      <c r="D63" s="19"/>
      <c r="E63" s="20"/>
      <c r="F63" s="20"/>
      <c r="G63" s="34">
        <v>8.6999999999999994E-2</v>
      </c>
      <c r="H63" s="71" t="s">
        <v>65</v>
      </c>
      <c r="I63" s="68"/>
      <c r="J63" s="4" t="s">
        <v>2</v>
      </c>
      <c r="K63" s="32">
        <v>5000</v>
      </c>
      <c r="L63" s="29">
        <f>$L$59+IF(H63="before 5th",K63,0)</f>
        <v>812862.15122882393</v>
      </c>
      <c r="M63" s="6">
        <f>L63*G63/12</f>
        <v>5893.2505964089733</v>
      </c>
      <c r="N63" s="78">
        <f t="shared" ref="N63:N74" si="6">IF(O63=MAX($O$63:$O$74),O63,IF(N62=MAX($O$63:$O$74),N62,0))</f>
        <v>0</v>
      </c>
      <c r="O63" s="98"/>
      <c r="P63" s="96"/>
      <c r="Q63" s="68"/>
      <c r="R63" s="20"/>
      <c r="S63" s="21"/>
    </row>
    <row r="64" spans="4:19">
      <c r="D64" s="19" t="str">
        <f>IF($M$9=0,"Withdrawal limit","")</f>
        <v>Withdrawal limit</v>
      </c>
      <c r="E64" s="20"/>
      <c r="F64" s="20">
        <f>60%*$L$11</f>
        <v>281464.8</v>
      </c>
      <c r="G64" s="34">
        <v>8.6999999999999994E-2</v>
      </c>
      <c r="H64" s="71" t="s">
        <v>65</v>
      </c>
      <c r="I64" s="68"/>
      <c r="J64" s="4" t="s">
        <v>3</v>
      </c>
      <c r="K64" s="32">
        <v>5000</v>
      </c>
      <c r="L64" s="29">
        <f>SUM($K$63:K63)+$L$59+IF(H64="before 5th",K64,0)</f>
        <v>817862.15122882393</v>
      </c>
      <c r="M64" s="6">
        <f t="shared" ref="M64:M74" si="7">L64*G64/12</f>
        <v>5929.5005964089733</v>
      </c>
      <c r="N64" s="78">
        <f t="shared" si="6"/>
        <v>0</v>
      </c>
      <c r="O64" s="82"/>
      <c r="P64" s="20" t="s">
        <v>40</v>
      </c>
      <c r="Q64" s="20"/>
      <c r="R64" s="20"/>
      <c r="S64" s="21"/>
    </row>
    <row r="65" spans="4:19">
      <c r="D65" s="19"/>
      <c r="E65" s="20"/>
      <c r="F65" s="20"/>
      <c r="G65" s="34">
        <v>8.6999999999999994E-2</v>
      </c>
      <c r="H65" s="71" t="s">
        <v>65</v>
      </c>
      <c r="I65" s="68"/>
      <c r="J65" s="4" t="s">
        <v>4</v>
      </c>
      <c r="K65" s="32">
        <v>5000</v>
      </c>
      <c r="L65" s="29">
        <f>SUM($K$63:K64)+$L$59+IF(H65="before 5th",K65,0)</f>
        <v>822862.15122882393</v>
      </c>
      <c r="M65" s="6">
        <f t="shared" si="7"/>
        <v>5965.7505964089733</v>
      </c>
      <c r="N65" s="78">
        <f t="shared" si="6"/>
        <v>0</v>
      </c>
      <c r="O65" s="82"/>
      <c r="P65" s="83">
        <v>150000</v>
      </c>
      <c r="Q65" s="20"/>
      <c r="R65" s="20"/>
      <c r="S65" s="21"/>
    </row>
    <row r="66" spans="4:19">
      <c r="D66" s="19"/>
      <c r="E66" s="20"/>
      <c r="F66" s="20"/>
      <c r="G66" s="34">
        <v>8.6999999999999994E-2</v>
      </c>
      <c r="H66" s="71" t="s">
        <v>65</v>
      </c>
      <c r="I66" s="68"/>
      <c r="J66" s="4" t="s">
        <v>5</v>
      </c>
      <c r="K66" s="32">
        <v>5000</v>
      </c>
      <c r="L66" s="29">
        <f>SUM($K$63:K65)+$L$59+IF(H66="before 5th",K66,0)</f>
        <v>827862.15122882393</v>
      </c>
      <c r="M66" s="6">
        <f t="shared" si="7"/>
        <v>6002.0005964089733</v>
      </c>
      <c r="N66" s="78">
        <f t="shared" si="6"/>
        <v>0</v>
      </c>
      <c r="O66" s="82"/>
      <c r="P66" s="41" t="str">
        <f>IF(SUM(K63:K74)&gt;P65,"Warning: total investment exceeds allowed limit","")</f>
        <v/>
      </c>
      <c r="Q66" s="49"/>
      <c r="R66" s="49"/>
      <c r="S66" s="50"/>
    </row>
    <row r="67" spans="4:19">
      <c r="D67" s="19"/>
      <c r="E67" s="20"/>
      <c r="F67" s="20"/>
      <c r="G67" s="34">
        <v>8.6999999999999994E-2</v>
      </c>
      <c r="H67" s="71" t="s">
        <v>65</v>
      </c>
      <c r="I67" s="68"/>
      <c r="J67" s="4" t="s">
        <v>6</v>
      </c>
      <c r="K67" s="32">
        <v>5000</v>
      </c>
      <c r="L67" s="29">
        <f>SUM($K$63:K66)+$L$59+IF(H67="before 5th",K67,0)</f>
        <v>832862.15122882393</v>
      </c>
      <c r="M67" s="6">
        <f t="shared" si="7"/>
        <v>6038.2505964089733</v>
      </c>
      <c r="N67" s="78">
        <f t="shared" si="6"/>
        <v>0</v>
      </c>
      <c r="O67" s="82"/>
      <c r="P67" s="20"/>
      <c r="Q67" s="20"/>
      <c r="R67" s="20"/>
      <c r="S67" s="21"/>
    </row>
    <row r="68" spans="4:19">
      <c r="D68" s="19"/>
      <c r="E68" s="20"/>
      <c r="F68" s="20"/>
      <c r="G68" s="34">
        <v>8.6999999999999994E-2</v>
      </c>
      <c r="H68" s="71" t="s">
        <v>65</v>
      </c>
      <c r="I68" s="68"/>
      <c r="J68" s="4" t="s">
        <v>7</v>
      </c>
      <c r="K68" s="32">
        <v>5000</v>
      </c>
      <c r="L68" s="29">
        <f>SUM($K$63:K67)+$L$59+IF(H68="before 5th",K68,0)</f>
        <v>837862.15122882393</v>
      </c>
      <c r="M68" s="6">
        <f t="shared" si="7"/>
        <v>6074.5005964089733</v>
      </c>
      <c r="N68" s="78">
        <f t="shared" si="6"/>
        <v>0</v>
      </c>
      <c r="O68" s="82"/>
      <c r="P68" s="79" t="str">
        <f>IF(N75&gt;F64,"Withdrawal is above limit","")</f>
        <v/>
      </c>
      <c r="Q68" s="75"/>
      <c r="R68" s="75"/>
      <c r="S68" s="80"/>
    </row>
    <row r="69" spans="4:19">
      <c r="D69" s="19"/>
      <c r="E69" s="20"/>
      <c r="F69" s="20"/>
      <c r="G69" s="34">
        <v>8.6999999999999994E-2</v>
      </c>
      <c r="H69" s="71" t="s">
        <v>65</v>
      </c>
      <c r="I69" s="68"/>
      <c r="J69" s="4" t="s">
        <v>8</v>
      </c>
      <c r="K69" s="32">
        <v>5000</v>
      </c>
      <c r="L69" s="29">
        <f>SUM($K$63:K68)+$L$59+IF(H69="before 5th",K69,0)</f>
        <v>842862.15122882393</v>
      </c>
      <c r="M69" s="6">
        <f t="shared" si="7"/>
        <v>6110.7505964089733</v>
      </c>
      <c r="N69" s="78">
        <f t="shared" si="6"/>
        <v>0</v>
      </c>
      <c r="O69" s="82"/>
      <c r="P69" s="20"/>
      <c r="Q69" s="20"/>
      <c r="R69" s="20"/>
      <c r="S69" s="21"/>
    </row>
    <row r="70" spans="4:19">
      <c r="D70" s="19"/>
      <c r="E70" s="20"/>
      <c r="F70" s="20"/>
      <c r="G70" s="34">
        <v>8.6999999999999994E-2</v>
      </c>
      <c r="H70" s="71" t="s">
        <v>65</v>
      </c>
      <c r="I70" s="68"/>
      <c r="J70" s="4" t="s">
        <v>9</v>
      </c>
      <c r="K70" s="32">
        <v>5000</v>
      </c>
      <c r="L70" s="29">
        <f>SUM($K$63:K69)+$L$59+IF(H70="before 5th",K70,0)</f>
        <v>847862.15122882393</v>
      </c>
      <c r="M70" s="6">
        <f t="shared" si="7"/>
        <v>6147.0005964089733</v>
      </c>
      <c r="N70" s="78">
        <f t="shared" si="6"/>
        <v>0</v>
      </c>
      <c r="O70" s="82"/>
      <c r="P70" s="20"/>
      <c r="Q70" s="20"/>
      <c r="R70" s="20"/>
      <c r="S70" s="21"/>
    </row>
    <row r="71" spans="4:19">
      <c r="D71" s="19"/>
      <c r="E71" s="20"/>
      <c r="F71" s="20"/>
      <c r="G71" s="34">
        <v>8.6999999999999994E-2</v>
      </c>
      <c r="H71" s="71" t="s">
        <v>65</v>
      </c>
      <c r="I71" s="68"/>
      <c r="J71" s="4" t="s">
        <v>10</v>
      </c>
      <c r="K71" s="32">
        <v>5000</v>
      </c>
      <c r="L71" s="29">
        <f>SUM($K$63:K70)+$L$59+IF(H71="before 5th",K71,0)</f>
        <v>852862.15122882393</v>
      </c>
      <c r="M71" s="6">
        <f t="shared" si="7"/>
        <v>6183.2505964089733</v>
      </c>
      <c r="N71" s="78">
        <f t="shared" si="6"/>
        <v>0</v>
      </c>
      <c r="O71" s="82"/>
      <c r="P71" s="20"/>
      <c r="Q71" s="20"/>
      <c r="R71" s="20"/>
      <c r="S71" s="21"/>
    </row>
    <row r="72" spans="4:19">
      <c r="D72" s="19"/>
      <c r="E72" s="20"/>
      <c r="F72" s="20"/>
      <c r="G72" s="34">
        <v>8.6999999999999994E-2</v>
      </c>
      <c r="H72" s="71" t="s">
        <v>65</v>
      </c>
      <c r="I72" s="68"/>
      <c r="J72" s="4" t="s">
        <v>11</v>
      </c>
      <c r="K72" s="32">
        <v>5000</v>
      </c>
      <c r="L72" s="29">
        <f>SUM($K$63:K71)+$L$59+IF(H72="before 5th",K72,0)</f>
        <v>857862.15122882393</v>
      </c>
      <c r="M72" s="6">
        <f t="shared" si="7"/>
        <v>6219.5005964089733</v>
      </c>
      <c r="N72" s="78">
        <f t="shared" si="6"/>
        <v>0</v>
      </c>
      <c r="O72" s="82"/>
      <c r="P72" s="68"/>
      <c r="Q72" s="68"/>
      <c r="R72" s="20"/>
      <c r="S72" s="21"/>
    </row>
    <row r="73" spans="4:19">
      <c r="D73" s="19"/>
      <c r="E73" s="20"/>
      <c r="F73" s="20"/>
      <c r="G73" s="34">
        <v>8.6999999999999994E-2</v>
      </c>
      <c r="H73" s="71" t="s">
        <v>65</v>
      </c>
      <c r="I73" s="68"/>
      <c r="J73" s="4" t="s">
        <v>12</v>
      </c>
      <c r="K73" s="32">
        <v>5000</v>
      </c>
      <c r="L73" s="29">
        <f>SUM($K$63:K72)+$L$59+IF(H73="before 5th",K73,0)</f>
        <v>862862.15122882393</v>
      </c>
      <c r="M73" s="6">
        <f t="shared" si="7"/>
        <v>6255.7505964089733</v>
      </c>
      <c r="N73" s="78">
        <f t="shared" si="6"/>
        <v>0</v>
      </c>
      <c r="O73" s="82"/>
      <c r="P73" s="68"/>
      <c r="Q73" s="68"/>
      <c r="R73" s="20"/>
      <c r="S73" s="21"/>
    </row>
    <row r="74" spans="4:19">
      <c r="D74" s="19"/>
      <c r="E74" s="20"/>
      <c r="F74" s="20"/>
      <c r="G74" s="34">
        <v>8.6999999999999994E-2</v>
      </c>
      <c r="H74" s="71" t="s">
        <v>65</v>
      </c>
      <c r="I74" s="68"/>
      <c r="J74" s="4" t="s">
        <v>13</v>
      </c>
      <c r="K74" s="32">
        <v>5000</v>
      </c>
      <c r="L74" s="29">
        <f>SUM($K$63:K73)+$L$59+IF(H74="before 5th",K74,0)</f>
        <v>867862.15122882393</v>
      </c>
      <c r="M74" s="6">
        <f t="shared" si="7"/>
        <v>6292.0005964089733</v>
      </c>
      <c r="N74" s="78">
        <f t="shared" si="6"/>
        <v>0</v>
      </c>
      <c r="O74" s="82"/>
      <c r="P74" s="68"/>
      <c r="Q74" s="68"/>
      <c r="R74" s="20"/>
      <c r="S74" s="21"/>
    </row>
    <row r="75" spans="4:19">
      <c r="D75" s="19"/>
      <c r="E75" s="20"/>
      <c r="F75" s="20"/>
      <c r="G75" s="20"/>
      <c r="H75" s="20"/>
      <c r="I75" s="68"/>
      <c r="J75" s="7" t="s">
        <v>21</v>
      </c>
      <c r="K75" s="9"/>
      <c r="L75" s="9">
        <f>SUM(K63:K74)+SUM(M63:M74)+L59-N75</f>
        <v>940973.65838573163</v>
      </c>
      <c r="M75" s="10"/>
      <c r="N75" s="68">
        <f>MAX(O63:O74)</f>
        <v>0</v>
      </c>
      <c r="O75" s="73"/>
      <c r="P75" s="20"/>
      <c r="Q75" s="20"/>
      <c r="R75" s="20"/>
      <c r="S75" s="21"/>
    </row>
    <row r="76" spans="4:19">
      <c r="D76" s="19"/>
      <c r="E76" s="20"/>
      <c r="F76" s="20"/>
      <c r="G76" s="20"/>
      <c r="H76" s="20"/>
      <c r="I76" s="68"/>
      <c r="J76" s="20"/>
      <c r="K76" s="20"/>
      <c r="L76" s="20"/>
      <c r="M76" s="20"/>
      <c r="N76" s="20"/>
      <c r="O76" s="20"/>
      <c r="P76" s="20"/>
      <c r="Q76" s="20"/>
      <c r="R76" s="20"/>
      <c r="S76" s="21"/>
    </row>
    <row r="77" spans="4:19">
      <c r="D77" s="19"/>
      <c r="E77" s="20"/>
      <c r="F77" s="20"/>
      <c r="G77" s="20"/>
      <c r="H77" s="20"/>
      <c r="I77" s="68"/>
      <c r="J77" s="122" t="s">
        <v>75</v>
      </c>
      <c r="K77" s="123"/>
      <c r="L77" s="123"/>
      <c r="M77" s="124"/>
      <c r="N77" s="74"/>
      <c r="O77" s="84" t="s">
        <v>69</v>
      </c>
      <c r="P77" s="20"/>
      <c r="Q77" s="20"/>
      <c r="R77" s="20"/>
      <c r="S77" s="21"/>
    </row>
    <row r="78" spans="4:19">
      <c r="D78" s="19"/>
      <c r="E78" s="20"/>
      <c r="F78" s="20"/>
      <c r="G78" s="95" t="s">
        <v>81</v>
      </c>
      <c r="H78" s="70" t="s">
        <v>64</v>
      </c>
      <c r="I78" s="68"/>
      <c r="J78" s="1" t="s">
        <v>1</v>
      </c>
      <c r="K78" s="2" t="s">
        <v>14</v>
      </c>
      <c r="L78" s="2" t="s">
        <v>0</v>
      </c>
      <c r="M78" s="3" t="s">
        <v>15</v>
      </c>
      <c r="N78" s="3"/>
      <c r="O78" s="97" t="s">
        <v>68</v>
      </c>
      <c r="P78" s="68"/>
      <c r="Q78" s="68"/>
      <c r="R78" s="20"/>
      <c r="S78" s="21"/>
    </row>
    <row r="79" spans="4:19">
      <c r="D79" s="19"/>
      <c r="E79" s="20"/>
      <c r="F79" s="20"/>
      <c r="G79" s="34">
        <v>8.6999999999999994E-2</v>
      </c>
      <c r="H79" s="71" t="s">
        <v>65</v>
      </c>
      <c r="I79" s="68"/>
      <c r="J79" s="4" t="s">
        <v>2</v>
      </c>
      <c r="K79" s="32">
        <v>5000</v>
      </c>
      <c r="L79" s="29">
        <f>$L$75+IF(H79="before 5th",K79,0)</f>
        <v>945973.65838573163</v>
      </c>
      <c r="M79" s="6">
        <f>L79*G79/12</f>
        <v>6858.3090232965542</v>
      </c>
      <c r="N79" s="78">
        <f t="shared" ref="N79:N90" si="8">IF(O79=MAX($O$79:$O$90),O79,IF(N78=MAX($O$79:$O$90),N78,0))</f>
        <v>0</v>
      </c>
      <c r="O79" s="98"/>
      <c r="P79" s="96"/>
      <c r="Q79" s="68"/>
      <c r="R79" s="20"/>
      <c r="S79" s="21"/>
    </row>
    <row r="80" spans="4:19">
      <c r="D80" s="19" t="str">
        <f>IF($M$9=0,"Withdrawal limit","")</f>
        <v>Withdrawal limit</v>
      </c>
      <c r="E80" s="20"/>
      <c r="F80" s="20">
        <f>60%*$L$11</f>
        <v>281464.8</v>
      </c>
      <c r="G80" s="34">
        <v>8.6999999999999994E-2</v>
      </c>
      <c r="H80" s="71" t="s">
        <v>65</v>
      </c>
      <c r="I80" s="68"/>
      <c r="J80" s="4" t="s">
        <v>3</v>
      </c>
      <c r="K80" s="32">
        <v>5000</v>
      </c>
      <c r="L80" s="29">
        <f>SUM($K$79:K79)+$L$75+IF(H80="before 5th",K80,0)</f>
        <v>950973.65838573163</v>
      </c>
      <c r="M80" s="6">
        <f t="shared" ref="M80:M90" si="9">L80*G80/12</f>
        <v>6894.5590232965542</v>
      </c>
      <c r="N80" s="78">
        <f t="shared" si="8"/>
        <v>0</v>
      </c>
      <c r="O80" s="82"/>
      <c r="P80" s="20" t="s">
        <v>40</v>
      </c>
      <c r="Q80" s="20"/>
      <c r="R80" s="20"/>
      <c r="S80" s="21"/>
    </row>
    <row r="81" spans="4:19">
      <c r="D81" s="19"/>
      <c r="E81" s="20"/>
      <c r="F81" s="20"/>
      <c r="G81" s="34">
        <v>8.6999999999999994E-2</v>
      </c>
      <c r="H81" s="71" t="s">
        <v>65</v>
      </c>
      <c r="I81" s="68"/>
      <c r="J81" s="4" t="s">
        <v>4</v>
      </c>
      <c r="K81" s="32">
        <v>5000</v>
      </c>
      <c r="L81" s="29">
        <f>SUM($K$79:K80)+$L$75+IF(H81="before 5th",K81,0)</f>
        <v>955973.65838573163</v>
      </c>
      <c r="M81" s="6">
        <f t="shared" si="9"/>
        <v>6930.8090232965542</v>
      </c>
      <c r="N81" s="78">
        <f t="shared" si="8"/>
        <v>0</v>
      </c>
      <c r="O81" s="82"/>
      <c r="P81" s="83">
        <v>150000</v>
      </c>
      <c r="Q81" s="20"/>
      <c r="R81" s="20"/>
      <c r="S81" s="21"/>
    </row>
    <row r="82" spans="4:19">
      <c r="D82" s="19"/>
      <c r="E82" s="20"/>
      <c r="F82" s="20"/>
      <c r="G82" s="34">
        <v>8.6999999999999994E-2</v>
      </c>
      <c r="H82" s="71" t="s">
        <v>65</v>
      </c>
      <c r="I82" s="68"/>
      <c r="J82" s="4" t="s">
        <v>5</v>
      </c>
      <c r="K82" s="32">
        <v>5000</v>
      </c>
      <c r="L82" s="29">
        <f>SUM($K$79:K81)+$L$75+IF(H82="before 5th",K82,0)</f>
        <v>960973.65838573163</v>
      </c>
      <c r="M82" s="6">
        <f t="shared" si="9"/>
        <v>6967.0590232965542</v>
      </c>
      <c r="N82" s="78">
        <f t="shared" si="8"/>
        <v>0</v>
      </c>
      <c r="O82" s="82"/>
      <c r="P82" s="41" t="str">
        <f>IF(SUM(K79:K90)&gt;P81,"Warning: total investment exceeds allowed limit","")</f>
        <v/>
      </c>
      <c r="Q82" s="49"/>
      <c r="R82" s="49"/>
      <c r="S82" s="50"/>
    </row>
    <row r="83" spans="4:19">
      <c r="D83" s="19"/>
      <c r="E83" s="20"/>
      <c r="F83" s="20"/>
      <c r="G83" s="34">
        <v>8.6999999999999994E-2</v>
      </c>
      <c r="H83" s="71" t="s">
        <v>65</v>
      </c>
      <c r="I83" s="68"/>
      <c r="J83" s="4" t="s">
        <v>6</v>
      </c>
      <c r="K83" s="32">
        <v>5000</v>
      </c>
      <c r="L83" s="29">
        <f>SUM($K$79:K82)+$L$75+IF(H83="before 5th",K83,0)</f>
        <v>965973.65838573163</v>
      </c>
      <c r="M83" s="6">
        <f t="shared" si="9"/>
        <v>7003.3090232965542</v>
      </c>
      <c r="N83" s="78">
        <f t="shared" si="8"/>
        <v>0</v>
      </c>
      <c r="O83" s="82"/>
      <c r="P83" s="20"/>
      <c r="Q83" s="20"/>
      <c r="R83" s="20"/>
      <c r="S83" s="21"/>
    </row>
    <row r="84" spans="4:19">
      <c r="D84" s="19"/>
      <c r="E84" s="20"/>
      <c r="F84" s="20"/>
      <c r="G84" s="34">
        <v>8.6999999999999994E-2</v>
      </c>
      <c r="H84" s="71" t="s">
        <v>65</v>
      </c>
      <c r="I84" s="68"/>
      <c r="J84" s="4" t="s">
        <v>7</v>
      </c>
      <c r="K84" s="32">
        <v>5000</v>
      </c>
      <c r="L84" s="29">
        <f>SUM($K$79:K83)+$L$75+IF(H84="before 5th",K84,0)</f>
        <v>970973.65838573163</v>
      </c>
      <c r="M84" s="6">
        <f t="shared" si="9"/>
        <v>7039.5590232965542</v>
      </c>
      <c r="N84" s="78">
        <f t="shared" si="8"/>
        <v>0</v>
      </c>
      <c r="O84" s="82"/>
      <c r="P84" s="79" t="str">
        <f>IF(N91&gt;F80,"Withdrawal is above limit","")</f>
        <v/>
      </c>
      <c r="Q84" s="75"/>
      <c r="R84" s="75"/>
      <c r="S84" s="80"/>
    </row>
    <row r="85" spans="4:19">
      <c r="D85" s="19"/>
      <c r="E85" s="20"/>
      <c r="F85" s="20"/>
      <c r="G85" s="34">
        <v>8.6999999999999994E-2</v>
      </c>
      <c r="H85" s="71" t="s">
        <v>65</v>
      </c>
      <c r="I85" s="68"/>
      <c r="J85" s="4" t="s">
        <v>8</v>
      </c>
      <c r="K85" s="32">
        <v>5000</v>
      </c>
      <c r="L85" s="29">
        <f>SUM($K$79:K84)+$L$75+IF(H85="before 5th",K85,0)</f>
        <v>975973.65838573163</v>
      </c>
      <c r="M85" s="6">
        <f t="shared" si="9"/>
        <v>7075.8090232965542</v>
      </c>
      <c r="N85" s="78">
        <f t="shared" si="8"/>
        <v>0</v>
      </c>
      <c r="O85" s="82"/>
      <c r="P85" s="20"/>
      <c r="Q85" s="20"/>
      <c r="R85" s="20"/>
      <c r="S85" s="21"/>
    </row>
    <row r="86" spans="4:19">
      <c r="D86" s="19"/>
      <c r="E86" s="20"/>
      <c r="F86" s="20"/>
      <c r="G86" s="34">
        <v>8.6999999999999994E-2</v>
      </c>
      <c r="H86" s="71" t="s">
        <v>65</v>
      </c>
      <c r="I86" s="68"/>
      <c r="J86" s="4" t="s">
        <v>9</v>
      </c>
      <c r="K86" s="32">
        <v>5000</v>
      </c>
      <c r="L86" s="29">
        <f>SUM($K$79:K85)+$L$75+IF(H86="before 5th",K86,0)</f>
        <v>980973.65838573163</v>
      </c>
      <c r="M86" s="6">
        <f t="shared" si="9"/>
        <v>7112.0590232965542</v>
      </c>
      <c r="N86" s="78">
        <f t="shared" si="8"/>
        <v>0</v>
      </c>
      <c r="O86" s="82"/>
      <c r="P86" s="20"/>
      <c r="Q86" s="20"/>
      <c r="R86" s="20"/>
      <c r="S86" s="21"/>
    </row>
    <row r="87" spans="4:19">
      <c r="D87" s="19"/>
      <c r="E87" s="20"/>
      <c r="F87" s="20"/>
      <c r="G87" s="34">
        <v>8.6999999999999994E-2</v>
      </c>
      <c r="H87" s="71" t="s">
        <v>65</v>
      </c>
      <c r="I87" s="68"/>
      <c r="J87" s="4" t="s">
        <v>10</v>
      </c>
      <c r="K87" s="32">
        <v>5000</v>
      </c>
      <c r="L87" s="29">
        <f>SUM($K$79:K86)+$L$75+IF(H87="before 5th",K87,0)</f>
        <v>985973.65838573163</v>
      </c>
      <c r="M87" s="6">
        <f t="shared" si="9"/>
        <v>7148.3090232965542</v>
      </c>
      <c r="N87" s="78">
        <f t="shared" si="8"/>
        <v>0</v>
      </c>
      <c r="O87" s="82"/>
      <c r="P87" s="20"/>
      <c r="Q87" s="20"/>
      <c r="R87" s="20"/>
      <c r="S87" s="21"/>
    </row>
    <row r="88" spans="4:19">
      <c r="D88" s="19"/>
      <c r="E88" s="20"/>
      <c r="F88" s="20"/>
      <c r="G88" s="34">
        <v>8.6999999999999994E-2</v>
      </c>
      <c r="H88" s="71" t="s">
        <v>65</v>
      </c>
      <c r="I88" s="68"/>
      <c r="J88" s="4" t="s">
        <v>11</v>
      </c>
      <c r="K88" s="32">
        <v>5000</v>
      </c>
      <c r="L88" s="29">
        <f>SUM($K$79:K87)+$L$75+IF(H88="before 5th",K88,0)</f>
        <v>990973.65838573163</v>
      </c>
      <c r="M88" s="6">
        <f t="shared" si="9"/>
        <v>7184.5590232965542</v>
      </c>
      <c r="N88" s="78">
        <f t="shared" si="8"/>
        <v>0</v>
      </c>
      <c r="O88" s="82"/>
      <c r="P88" s="68"/>
      <c r="Q88" s="68"/>
      <c r="R88" s="20"/>
      <c r="S88" s="21"/>
    </row>
    <row r="89" spans="4:19">
      <c r="D89" s="19"/>
      <c r="E89" s="20"/>
      <c r="F89" s="20"/>
      <c r="G89" s="34">
        <v>8.6999999999999994E-2</v>
      </c>
      <c r="H89" s="71" t="s">
        <v>65</v>
      </c>
      <c r="I89" s="68"/>
      <c r="J89" s="4" t="s">
        <v>12</v>
      </c>
      <c r="K89" s="32">
        <v>5000</v>
      </c>
      <c r="L89" s="29">
        <f>SUM($K$79:K88)+$L$75+IF(H89="before 5th",K89,0)</f>
        <v>995973.65838573163</v>
      </c>
      <c r="M89" s="6">
        <f t="shared" si="9"/>
        <v>7220.8090232965542</v>
      </c>
      <c r="N89" s="78">
        <f t="shared" si="8"/>
        <v>0</v>
      </c>
      <c r="O89" s="82"/>
      <c r="P89" s="68"/>
      <c r="Q89" s="68"/>
      <c r="R89" s="20"/>
      <c r="S89" s="21"/>
    </row>
    <row r="90" spans="4:19">
      <c r="D90" s="19"/>
      <c r="E90" s="20"/>
      <c r="F90" s="20"/>
      <c r="G90" s="34">
        <v>8.6999999999999994E-2</v>
      </c>
      <c r="H90" s="71" t="s">
        <v>65</v>
      </c>
      <c r="I90" s="68"/>
      <c r="J90" s="4" t="s">
        <v>13</v>
      </c>
      <c r="K90" s="32">
        <v>5000</v>
      </c>
      <c r="L90" s="29">
        <f>SUM($K$79:K89)+$L$75+IF(H90="before 5th",K90,0)</f>
        <v>1000973.6583857316</v>
      </c>
      <c r="M90" s="6">
        <f t="shared" si="9"/>
        <v>7257.0590232965542</v>
      </c>
      <c r="N90" s="78">
        <f t="shared" si="8"/>
        <v>0</v>
      </c>
      <c r="O90" s="82"/>
      <c r="P90" s="68"/>
      <c r="Q90" s="68"/>
      <c r="R90" s="20"/>
      <c r="S90" s="21"/>
    </row>
    <row r="91" spans="4:19">
      <c r="D91" s="19"/>
      <c r="E91" s="20"/>
      <c r="F91" s="20"/>
      <c r="G91" s="20"/>
      <c r="H91" s="20"/>
      <c r="I91" s="68"/>
      <c r="J91" s="7" t="s">
        <v>21</v>
      </c>
      <c r="K91" s="9"/>
      <c r="L91" s="9">
        <f>SUM(K79:K90)+SUM(M79:M90)+L75-N91</f>
        <v>1085665.8666652902</v>
      </c>
      <c r="M91" s="10"/>
      <c r="N91" s="68">
        <f>MAX(O79:O90)</f>
        <v>0</v>
      </c>
      <c r="O91" s="73"/>
      <c r="P91" s="20"/>
      <c r="Q91" s="20"/>
      <c r="R91" s="20"/>
      <c r="S91" s="21"/>
    </row>
    <row r="92" spans="4:19" ht="7.2" customHeight="1">
      <c r="D92" s="92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4"/>
    </row>
    <row r="93" spans="4:19">
      <c r="D93" s="19"/>
      <c r="E93" s="20"/>
      <c r="F93" s="20"/>
      <c r="G93" s="20"/>
      <c r="H93" s="20"/>
      <c r="I93" s="68"/>
      <c r="J93" s="122" t="s">
        <v>76</v>
      </c>
      <c r="K93" s="123"/>
      <c r="L93" s="123"/>
      <c r="M93" s="124"/>
      <c r="N93" s="74"/>
      <c r="O93" s="84" t="s">
        <v>69</v>
      </c>
      <c r="P93" s="20"/>
      <c r="Q93" s="20"/>
      <c r="R93" s="20"/>
      <c r="S93" s="21"/>
    </row>
    <row r="94" spans="4:19">
      <c r="D94" s="19"/>
      <c r="E94" s="20"/>
      <c r="F94" s="20"/>
      <c r="G94" s="95" t="s">
        <v>81</v>
      </c>
      <c r="H94" s="70" t="s">
        <v>64</v>
      </c>
      <c r="I94" s="68"/>
      <c r="J94" s="1" t="s">
        <v>1</v>
      </c>
      <c r="K94" s="2" t="s">
        <v>14</v>
      </c>
      <c r="L94" s="2" t="s">
        <v>0</v>
      </c>
      <c r="M94" s="3" t="s">
        <v>15</v>
      </c>
      <c r="N94" s="3"/>
      <c r="O94" s="97" t="s">
        <v>68</v>
      </c>
      <c r="P94" s="68"/>
      <c r="Q94" s="68"/>
      <c r="R94" s="20"/>
      <c r="S94" s="21"/>
    </row>
    <row r="95" spans="4:19">
      <c r="D95" s="19"/>
      <c r="E95" s="20"/>
      <c r="F95" s="20"/>
      <c r="G95" s="34">
        <v>8.6999999999999994E-2</v>
      </c>
      <c r="H95" s="71" t="s">
        <v>65</v>
      </c>
      <c r="I95" s="68"/>
      <c r="J95" s="4" t="s">
        <v>2</v>
      </c>
      <c r="K95" s="32">
        <v>5000</v>
      </c>
      <c r="L95" s="29">
        <f>$L$91+IF(H95="before 5th",K95,0)</f>
        <v>1090665.8666652902</v>
      </c>
      <c r="M95" s="6">
        <f>L95*G95/12</f>
        <v>7907.3275333233532</v>
      </c>
      <c r="N95" s="78">
        <f t="shared" ref="N95:N106" si="10">IF(O95=MAX($O$95:$O$106),O95,IF(N94=MAX($O$95:$O$106),N94,0))</f>
        <v>0</v>
      </c>
      <c r="O95" s="98"/>
      <c r="P95" s="96"/>
      <c r="Q95" s="68"/>
      <c r="R95" s="20"/>
      <c r="S95" s="21"/>
    </row>
    <row r="96" spans="4:19">
      <c r="D96" s="19" t="str">
        <f>IF($M$9=0,"Withdrawal limit","")</f>
        <v>Withdrawal limit</v>
      </c>
      <c r="E96" s="20"/>
      <c r="F96" s="20">
        <f>60%*$L$91</f>
        <v>651399.51999917405</v>
      </c>
      <c r="G96" s="34">
        <v>8.6999999999999994E-2</v>
      </c>
      <c r="H96" s="71" t="s">
        <v>65</v>
      </c>
      <c r="I96" s="68"/>
      <c r="J96" s="4" t="s">
        <v>3</v>
      </c>
      <c r="K96" s="32">
        <v>5000</v>
      </c>
      <c r="L96" s="29">
        <f>SUM($K$95:K95)+$L$91+IF(H96="before 5th",K96,0)</f>
        <v>1095665.8666652902</v>
      </c>
      <c r="M96" s="6">
        <f t="shared" ref="M96:M106" si="11">L96*G96/12</f>
        <v>7943.5775333233532</v>
      </c>
      <c r="N96" s="78">
        <f t="shared" si="10"/>
        <v>0</v>
      </c>
      <c r="O96" s="82"/>
      <c r="P96" s="20" t="s">
        <v>40</v>
      </c>
      <c r="Q96" s="20"/>
      <c r="R96" s="20"/>
      <c r="S96" s="21"/>
    </row>
    <row r="97" spans="4:19">
      <c r="D97" s="19"/>
      <c r="E97" s="20"/>
      <c r="F97" s="20"/>
      <c r="G97" s="34">
        <v>8.6999999999999994E-2</v>
      </c>
      <c r="H97" s="71" t="s">
        <v>65</v>
      </c>
      <c r="I97" s="68"/>
      <c r="J97" s="4" t="s">
        <v>4</v>
      </c>
      <c r="K97" s="32">
        <v>5000</v>
      </c>
      <c r="L97" s="29">
        <f>SUM($K$95:K96)+$L$91+IF(H97="before 5th",K97,0)</f>
        <v>1100665.8666652902</v>
      </c>
      <c r="M97" s="6">
        <f t="shared" si="11"/>
        <v>7979.8275333233532</v>
      </c>
      <c r="N97" s="78">
        <f t="shared" si="10"/>
        <v>0</v>
      </c>
      <c r="O97" s="82"/>
      <c r="P97" s="83">
        <v>150000</v>
      </c>
      <c r="Q97" s="20"/>
      <c r="R97" s="20"/>
      <c r="S97" s="21"/>
    </row>
    <row r="98" spans="4:19">
      <c r="D98" s="19"/>
      <c r="E98" s="20"/>
      <c r="F98" s="20"/>
      <c r="G98" s="34">
        <v>8.6999999999999994E-2</v>
      </c>
      <c r="H98" s="71" t="s">
        <v>65</v>
      </c>
      <c r="I98" s="68"/>
      <c r="J98" s="4" t="s">
        <v>5</v>
      </c>
      <c r="K98" s="32">
        <v>5000</v>
      </c>
      <c r="L98" s="29">
        <f>SUM($K$95:K97)+$L$91+IF(H98="before 5th",K98,0)</f>
        <v>1105665.8666652902</v>
      </c>
      <c r="M98" s="6">
        <f t="shared" si="11"/>
        <v>8016.0775333233532</v>
      </c>
      <c r="N98" s="78">
        <f t="shared" si="10"/>
        <v>0</v>
      </c>
      <c r="O98" s="82"/>
      <c r="P98" s="41" t="str">
        <f>IF(SUM(K95:K106)&gt;P97,"Warning: total investment exceeds allowed limit","")</f>
        <v/>
      </c>
      <c r="Q98" s="49"/>
      <c r="R98" s="49"/>
      <c r="S98" s="50"/>
    </row>
    <row r="99" spans="4:19">
      <c r="D99" s="19"/>
      <c r="E99" s="20"/>
      <c r="F99" s="20"/>
      <c r="G99" s="34">
        <v>8.6999999999999994E-2</v>
      </c>
      <c r="H99" s="71" t="s">
        <v>65</v>
      </c>
      <c r="I99" s="68"/>
      <c r="J99" s="4" t="s">
        <v>6</v>
      </c>
      <c r="K99" s="32">
        <v>5000</v>
      </c>
      <c r="L99" s="29">
        <f>SUM($K$95:K98)+$L$91+IF(H99="before 5th",K99,0)</f>
        <v>1110665.8666652902</v>
      </c>
      <c r="M99" s="6">
        <f t="shared" si="11"/>
        <v>8052.3275333233532</v>
      </c>
      <c r="N99" s="78">
        <f t="shared" si="10"/>
        <v>0</v>
      </c>
      <c r="O99" s="82"/>
      <c r="P99" s="20"/>
      <c r="Q99" s="20"/>
      <c r="R99" s="20"/>
      <c r="S99" s="21"/>
    </row>
    <row r="100" spans="4:19">
      <c r="D100" s="19"/>
      <c r="E100" s="20"/>
      <c r="F100" s="20"/>
      <c r="G100" s="34">
        <v>8.6999999999999994E-2</v>
      </c>
      <c r="H100" s="71" t="s">
        <v>65</v>
      </c>
      <c r="I100" s="68"/>
      <c r="J100" s="4" t="s">
        <v>7</v>
      </c>
      <c r="K100" s="32">
        <v>5000</v>
      </c>
      <c r="L100" s="29">
        <f>SUM($K$95:K99)+$L$91+IF(H100="before 5th",K100,0)</f>
        <v>1115665.8666652902</v>
      </c>
      <c r="M100" s="6">
        <f t="shared" si="11"/>
        <v>8088.5775333233532</v>
      </c>
      <c r="N100" s="78">
        <f t="shared" si="10"/>
        <v>0</v>
      </c>
      <c r="O100" s="82"/>
      <c r="P100" s="79" t="str">
        <f>IF(N107&gt;F96,"Withdrawal is above limit","")</f>
        <v/>
      </c>
      <c r="Q100" s="75"/>
      <c r="R100" s="75"/>
      <c r="S100" s="80"/>
    </row>
    <row r="101" spans="4:19">
      <c r="D101" s="19"/>
      <c r="E101" s="20"/>
      <c r="F101" s="20"/>
      <c r="G101" s="34">
        <v>8.6999999999999994E-2</v>
      </c>
      <c r="H101" s="71" t="s">
        <v>65</v>
      </c>
      <c r="I101" s="68"/>
      <c r="J101" s="4" t="s">
        <v>8</v>
      </c>
      <c r="K101" s="32">
        <v>5000</v>
      </c>
      <c r="L101" s="29">
        <f>SUM($K$95:K100)+$L$91+IF(H101="before 5th",K101,0)</f>
        <v>1120665.8666652902</v>
      </c>
      <c r="M101" s="6">
        <f t="shared" si="11"/>
        <v>8124.8275333233532</v>
      </c>
      <c r="N101" s="78">
        <f t="shared" si="10"/>
        <v>0</v>
      </c>
      <c r="O101" s="82"/>
      <c r="P101" s="20"/>
      <c r="Q101" s="20"/>
      <c r="R101" s="20"/>
      <c r="S101" s="21"/>
    </row>
    <row r="102" spans="4:19">
      <c r="D102" s="19"/>
      <c r="E102" s="20"/>
      <c r="F102" s="20"/>
      <c r="G102" s="34">
        <v>8.6999999999999994E-2</v>
      </c>
      <c r="H102" s="71" t="s">
        <v>65</v>
      </c>
      <c r="I102" s="68"/>
      <c r="J102" s="4" t="s">
        <v>9</v>
      </c>
      <c r="K102" s="32">
        <v>5000</v>
      </c>
      <c r="L102" s="29">
        <f>SUM($K$95:K101)+$L$91+IF(H102="before 5th",K102,0)</f>
        <v>1125665.8666652902</v>
      </c>
      <c r="M102" s="6">
        <f t="shared" si="11"/>
        <v>8161.0775333233532</v>
      </c>
      <c r="N102" s="78">
        <f t="shared" si="10"/>
        <v>0</v>
      </c>
      <c r="O102" s="82"/>
      <c r="P102" s="20"/>
      <c r="Q102" s="20"/>
      <c r="R102" s="20"/>
      <c r="S102" s="21"/>
    </row>
    <row r="103" spans="4:19">
      <c r="D103" s="19"/>
      <c r="E103" s="20"/>
      <c r="F103" s="20"/>
      <c r="G103" s="34">
        <v>8.6999999999999994E-2</v>
      </c>
      <c r="H103" s="71" t="s">
        <v>65</v>
      </c>
      <c r="I103" s="68"/>
      <c r="J103" s="4" t="s">
        <v>10</v>
      </c>
      <c r="K103" s="32">
        <v>5000</v>
      </c>
      <c r="L103" s="29">
        <f>SUM($K$95:K102)+$L$91+IF(H103="before 5th",K103,0)</f>
        <v>1130665.8666652902</v>
      </c>
      <c r="M103" s="6">
        <f t="shared" si="11"/>
        <v>8197.3275333233523</v>
      </c>
      <c r="N103" s="78">
        <f t="shared" si="10"/>
        <v>0</v>
      </c>
      <c r="O103" s="82"/>
      <c r="P103" s="20"/>
      <c r="Q103" s="20"/>
      <c r="R103" s="20"/>
      <c r="S103" s="21"/>
    </row>
    <row r="104" spans="4:19">
      <c r="D104" s="19"/>
      <c r="E104" s="20"/>
      <c r="F104" s="20"/>
      <c r="G104" s="34">
        <v>8.6999999999999994E-2</v>
      </c>
      <c r="H104" s="71" t="s">
        <v>65</v>
      </c>
      <c r="I104" s="68"/>
      <c r="J104" s="4" t="s">
        <v>11</v>
      </c>
      <c r="K104" s="32">
        <v>5000</v>
      </c>
      <c r="L104" s="29">
        <f>SUM($K$95:K103)+$L$91+IF(H104="before 5th",K104,0)</f>
        <v>1135665.8666652902</v>
      </c>
      <c r="M104" s="6">
        <f t="shared" si="11"/>
        <v>8233.5775333233523</v>
      </c>
      <c r="N104" s="78">
        <f t="shared" si="10"/>
        <v>0</v>
      </c>
      <c r="O104" s="82"/>
      <c r="P104" s="68"/>
      <c r="Q104" s="68"/>
      <c r="R104" s="20"/>
      <c r="S104" s="21"/>
    </row>
    <row r="105" spans="4:19">
      <c r="D105" s="19"/>
      <c r="E105" s="20"/>
      <c r="F105" s="20"/>
      <c r="G105" s="34">
        <v>8.6999999999999994E-2</v>
      </c>
      <c r="H105" s="71" t="s">
        <v>65</v>
      </c>
      <c r="I105" s="68"/>
      <c r="J105" s="4" t="s">
        <v>12</v>
      </c>
      <c r="K105" s="32">
        <v>5000</v>
      </c>
      <c r="L105" s="29">
        <f>SUM($K$95:K104)+$L$91+IF(H105="before 5th",K105,0)</f>
        <v>1140665.8666652902</v>
      </c>
      <c r="M105" s="6">
        <f t="shared" si="11"/>
        <v>8269.8275333233523</v>
      </c>
      <c r="N105" s="78">
        <f t="shared" si="10"/>
        <v>0</v>
      </c>
      <c r="O105" s="82"/>
      <c r="P105" s="68"/>
      <c r="Q105" s="68"/>
      <c r="R105" s="20"/>
      <c r="S105" s="21"/>
    </row>
    <row r="106" spans="4:19">
      <c r="D106" s="19"/>
      <c r="E106" s="20"/>
      <c r="F106" s="20"/>
      <c r="G106" s="34">
        <v>8.6999999999999994E-2</v>
      </c>
      <c r="H106" s="71" t="s">
        <v>65</v>
      </c>
      <c r="I106" s="68"/>
      <c r="J106" s="4" t="s">
        <v>13</v>
      </c>
      <c r="K106" s="32">
        <v>5000</v>
      </c>
      <c r="L106" s="29">
        <f>SUM($K$95:K105)+$L$91+IF(H106="before 5th",K106,0)</f>
        <v>1145665.8666652902</v>
      </c>
      <c r="M106" s="6">
        <f t="shared" si="11"/>
        <v>8306.0775333233523</v>
      </c>
      <c r="N106" s="78">
        <f t="shared" si="10"/>
        <v>0</v>
      </c>
      <c r="O106" s="82"/>
      <c r="P106" s="68"/>
      <c r="Q106" s="68"/>
      <c r="R106" s="20"/>
      <c r="S106" s="21"/>
    </row>
    <row r="107" spans="4:19">
      <c r="D107" s="19"/>
      <c r="E107" s="20"/>
      <c r="F107" s="20"/>
      <c r="G107" s="20"/>
      <c r="H107" s="20"/>
      <c r="I107" s="68"/>
      <c r="J107" s="7" t="s">
        <v>21</v>
      </c>
      <c r="K107" s="9"/>
      <c r="L107" s="9">
        <f>SUM(K95:K106)+SUM(M95:M106)+L91-N107</f>
        <v>1242946.2970651705</v>
      </c>
      <c r="M107" s="10"/>
      <c r="N107" s="68">
        <f>MAX(O95:O106)</f>
        <v>0</v>
      </c>
      <c r="O107" s="73"/>
      <c r="P107" s="20"/>
      <c r="Q107" s="20"/>
      <c r="R107" s="20"/>
      <c r="S107" s="21"/>
    </row>
    <row r="108" spans="4:19">
      <c r="D108" s="19"/>
      <c r="E108" s="20"/>
      <c r="F108" s="20"/>
      <c r="G108" s="20"/>
      <c r="H108" s="20"/>
      <c r="I108" s="68"/>
      <c r="J108" s="20"/>
      <c r="K108" s="20"/>
      <c r="L108" s="20"/>
      <c r="M108" s="20"/>
      <c r="N108" s="20"/>
      <c r="O108" s="20"/>
      <c r="P108" s="20"/>
      <c r="Q108" s="20"/>
      <c r="R108" s="20"/>
      <c r="S108" s="21"/>
    </row>
    <row r="109" spans="4:19">
      <c r="D109" s="19"/>
      <c r="E109" s="20"/>
      <c r="F109" s="20"/>
      <c r="G109" s="20"/>
      <c r="H109" s="20"/>
      <c r="I109" s="68"/>
      <c r="J109" s="122" t="s">
        <v>77</v>
      </c>
      <c r="K109" s="123"/>
      <c r="L109" s="123"/>
      <c r="M109" s="124"/>
      <c r="N109" s="74"/>
      <c r="O109" s="84" t="s">
        <v>69</v>
      </c>
      <c r="P109" s="20"/>
      <c r="Q109" s="20"/>
      <c r="R109" s="20"/>
      <c r="S109" s="21"/>
    </row>
    <row r="110" spans="4:19">
      <c r="D110" s="19"/>
      <c r="E110" s="20"/>
      <c r="F110" s="20"/>
      <c r="G110" s="95" t="s">
        <v>81</v>
      </c>
      <c r="H110" s="70" t="s">
        <v>64</v>
      </c>
      <c r="I110" s="68"/>
      <c r="J110" s="1" t="s">
        <v>1</v>
      </c>
      <c r="K110" s="2" t="s">
        <v>14</v>
      </c>
      <c r="L110" s="2" t="s">
        <v>0</v>
      </c>
      <c r="M110" s="3" t="s">
        <v>15</v>
      </c>
      <c r="N110" s="3"/>
      <c r="O110" s="97" t="s">
        <v>68</v>
      </c>
      <c r="P110" s="68"/>
      <c r="Q110" s="68"/>
      <c r="R110" s="20"/>
      <c r="S110" s="21"/>
    </row>
    <row r="111" spans="4:19">
      <c r="D111" s="19"/>
      <c r="E111" s="20"/>
      <c r="F111" s="20"/>
      <c r="G111" s="34">
        <v>8.6999999999999994E-2</v>
      </c>
      <c r="H111" s="71" t="s">
        <v>65</v>
      </c>
      <c r="I111" s="68"/>
      <c r="J111" s="4" t="s">
        <v>2</v>
      </c>
      <c r="K111" s="32">
        <v>5000</v>
      </c>
      <c r="L111" s="29">
        <f>$L$107+IF(H111="before 5th",K111,0)</f>
        <v>1247946.2970651705</v>
      </c>
      <c r="M111" s="6">
        <f>L111*G111/12</f>
        <v>9047.6106537224859</v>
      </c>
      <c r="N111" s="78">
        <f t="shared" ref="N111:N122" si="12">IF(O111=MAX($O$111:$O$122),O111,IF(N110=MAX($O$111:$O$122),N110,0))</f>
        <v>0</v>
      </c>
      <c r="O111" s="98"/>
      <c r="P111" s="96"/>
      <c r="Q111" s="68"/>
      <c r="R111" s="20"/>
      <c r="S111" s="21"/>
    </row>
    <row r="112" spans="4:19">
      <c r="D112" s="19" t="str">
        <f>IF($M$9=0,"Withdrawal limit","")</f>
        <v>Withdrawal limit</v>
      </c>
      <c r="E112" s="20"/>
      <c r="F112" s="20">
        <f>60%*$L$91</f>
        <v>651399.51999917405</v>
      </c>
      <c r="G112" s="34">
        <v>8.6999999999999994E-2</v>
      </c>
      <c r="H112" s="71" t="s">
        <v>65</v>
      </c>
      <c r="I112" s="68"/>
      <c r="J112" s="4" t="s">
        <v>3</v>
      </c>
      <c r="K112" s="32">
        <v>5000</v>
      </c>
      <c r="L112" s="29">
        <f>SUM($K$111:K111)+$L$107+IF(H112="before 5th",K112,0)</f>
        <v>1252946.2970651705</v>
      </c>
      <c r="M112" s="6">
        <f t="shared" ref="M112:M122" si="13">L112*G112/12</f>
        <v>9083.8606537224859</v>
      </c>
      <c r="N112" s="78">
        <f t="shared" si="12"/>
        <v>0</v>
      </c>
      <c r="O112" s="82"/>
      <c r="P112" s="20" t="s">
        <v>40</v>
      </c>
      <c r="Q112" s="20"/>
      <c r="R112" s="20"/>
      <c r="S112" s="21"/>
    </row>
    <row r="113" spans="4:19">
      <c r="D113" s="19"/>
      <c r="E113" s="20"/>
      <c r="F113" s="20"/>
      <c r="G113" s="34">
        <v>8.6999999999999994E-2</v>
      </c>
      <c r="H113" s="71" t="s">
        <v>65</v>
      </c>
      <c r="I113" s="68"/>
      <c r="J113" s="4" t="s">
        <v>4</v>
      </c>
      <c r="K113" s="32">
        <v>5000</v>
      </c>
      <c r="L113" s="29">
        <f>SUM($K$111:K112)+$L$107+IF(H113="before 5th",K113,0)</f>
        <v>1257946.2970651705</v>
      </c>
      <c r="M113" s="6">
        <f t="shared" si="13"/>
        <v>9120.1106537224859</v>
      </c>
      <c r="N113" s="78">
        <f t="shared" si="12"/>
        <v>0</v>
      </c>
      <c r="O113" s="82"/>
      <c r="P113" s="83">
        <v>150000</v>
      </c>
      <c r="Q113" s="20"/>
      <c r="R113" s="20"/>
      <c r="S113" s="21"/>
    </row>
    <row r="114" spans="4:19">
      <c r="D114" s="19"/>
      <c r="E114" s="20"/>
      <c r="F114" s="20"/>
      <c r="G114" s="34">
        <v>8.6999999999999994E-2</v>
      </c>
      <c r="H114" s="71" t="s">
        <v>65</v>
      </c>
      <c r="I114" s="68"/>
      <c r="J114" s="4" t="s">
        <v>5</v>
      </c>
      <c r="K114" s="32">
        <v>5000</v>
      </c>
      <c r="L114" s="29">
        <f>SUM($K$111:K113)+$L$107+IF(H114="before 5th",K114,0)</f>
        <v>1262946.2970651705</v>
      </c>
      <c r="M114" s="6">
        <f t="shared" si="13"/>
        <v>9156.3606537224859</v>
      </c>
      <c r="N114" s="78">
        <f t="shared" si="12"/>
        <v>0</v>
      </c>
      <c r="O114" s="82"/>
      <c r="P114" s="41" t="str">
        <f>IF(SUM(K111:K122)&gt;P113,"Warning: total investment exceeds allowed limit","")</f>
        <v/>
      </c>
      <c r="Q114" s="49"/>
      <c r="R114" s="49"/>
      <c r="S114" s="50"/>
    </row>
    <row r="115" spans="4:19">
      <c r="D115" s="19"/>
      <c r="E115" s="20"/>
      <c r="F115" s="20"/>
      <c r="G115" s="34">
        <v>8.6999999999999994E-2</v>
      </c>
      <c r="H115" s="71" t="s">
        <v>65</v>
      </c>
      <c r="I115" s="68"/>
      <c r="J115" s="4" t="s">
        <v>6</v>
      </c>
      <c r="K115" s="32">
        <v>5000</v>
      </c>
      <c r="L115" s="29">
        <f>SUM($K$111:K114)+$L$107+IF(H115="before 5th",K115,0)</f>
        <v>1267946.2970651705</v>
      </c>
      <c r="M115" s="6">
        <f t="shared" si="13"/>
        <v>9192.6106537224859</v>
      </c>
      <c r="N115" s="78">
        <f t="shared" si="12"/>
        <v>0</v>
      </c>
      <c r="O115" s="82"/>
      <c r="P115" s="20"/>
      <c r="Q115" s="20"/>
      <c r="R115" s="20"/>
      <c r="S115" s="21"/>
    </row>
    <row r="116" spans="4:19">
      <c r="D116" s="19"/>
      <c r="E116" s="20"/>
      <c r="F116" s="20"/>
      <c r="G116" s="34">
        <v>8.6999999999999994E-2</v>
      </c>
      <c r="H116" s="71" t="s">
        <v>65</v>
      </c>
      <c r="I116" s="68"/>
      <c r="J116" s="4" t="s">
        <v>7</v>
      </c>
      <c r="K116" s="32">
        <v>5000</v>
      </c>
      <c r="L116" s="29">
        <f>SUM($K$111:K115)+$L$107+IF(H116="before 5th",K116,0)</f>
        <v>1272946.2970651705</v>
      </c>
      <c r="M116" s="6">
        <f t="shared" si="13"/>
        <v>9228.8606537224859</v>
      </c>
      <c r="N116" s="78">
        <f t="shared" si="12"/>
        <v>0</v>
      </c>
      <c r="O116" s="82"/>
      <c r="P116" s="79" t="str">
        <f>IF(N123&gt;F112,"Withdrawal is above limit","")</f>
        <v/>
      </c>
      <c r="Q116" s="75"/>
      <c r="R116" s="75"/>
      <c r="S116" s="80"/>
    </row>
    <row r="117" spans="4:19">
      <c r="D117" s="19"/>
      <c r="E117" s="20"/>
      <c r="F117" s="20"/>
      <c r="G117" s="34">
        <v>8.6999999999999994E-2</v>
      </c>
      <c r="H117" s="71" t="s">
        <v>65</v>
      </c>
      <c r="I117" s="68"/>
      <c r="J117" s="4" t="s">
        <v>8</v>
      </c>
      <c r="K117" s="32">
        <v>5000</v>
      </c>
      <c r="L117" s="29">
        <f>SUM($K$111:K116)+$L$107+IF(H117="before 5th",K117,0)</f>
        <v>1277946.2970651705</v>
      </c>
      <c r="M117" s="6">
        <f t="shared" si="13"/>
        <v>9265.1106537224859</v>
      </c>
      <c r="N117" s="78">
        <f t="shared" si="12"/>
        <v>0</v>
      </c>
      <c r="O117" s="82"/>
      <c r="P117" s="20"/>
      <c r="Q117" s="20"/>
      <c r="R117" s="20"/>
      <c r="S117" s="21"/>
    </row>
    <row r="118" spans="4:19">
      <c r="D118" s="19"/>
      <c r="E118" s="20"/>
      <c r="F118" s="20"/>
      <c r="G118" s="34">
        <v>8.6999999999999994E-2</v>
      </c>
      <c r="H118" s="71" t="s">
        <v>65</v>
      </c>
      <c r="I118" s="68"/>
      <c r="J118" s="4" t="s">
        <v>9</v>
      </c>
      <c r="K118" s="32">
        <v>5000</v>
      </c>
      <c r="L118" s="29">
        <f>SUM($K$111:K117)+$L$107+IF(H118="before 5th",K118,0)</f>
        <v>1282946.2970651705</v>
      </c>
      <c r="M118" s="6">
        <f t="shared" si="13"/>
        <v>9301.3606537224859</v>
      </c>
      <c r="N118" s="78">
        <f t="shared" si="12"/>
        <v>0</v>
      </c>
      <c r="O118" s="82"/>
      <c r="P118" s="20"/>
      <c r="Q118" s="20"/>
      <c r="R118" s="20"/>
      <c r="S118" s="21"/>
    </row>
    <row r="119" spans="4:19">
      <c r="D119" s="19"/>
      <c r="E119" s="20"/>
      <c r="F119" s="20"/>
      <c r="G119" s="34">
        <v>8.6999999999999994E-2</v>
      </c>
      <c r="H119" s="71" t="s">
        <v>65</v>
      </c>
      <c r="I119" s="68"/>
      <c r="J119" s="4" t="s">
        <v>10</v>
      </c>
      <c r="K119" s="32">
        <v>5000</v>
      </c>
      <c r="L119" s="29">
        <f>SUM($K$111:K118)+$L$107+IF(H119="before 5th",K119,0)</f>
        <v>1287946.2970651705</v>
      </c>
      <c r="M119" s="6">
        <f t="shared" si="13"/>
        <v>9337.6106537224859</v>
      </c>
      <c r="N119" s="78">
        <f t="shared" si="12"/>
        <v>0</v>
      </c>
      <c r="O119" s="82"/>
      <c r="P119" s="20"/>
      <c r="Q119" s="20"/>
      <c r="R119" s="20"/>
      <c r="S119" s="21"/>
    </row>
    <row r="120" spans="4:19">
      <c r="D120" s="19"/>
      <c r="E120" s="20"/>
      <c r="F120" s="20"/>
      <c r="G120" s="34">
        <v>8.6999999999999994E-2</v>
      </c>
      <c r="H120" s="71" t="s">
        <v>65</v>
      </c>
      <c r="I120" s="68"/>
      <c r="J120" s="4" t="s">
        <v>11</v>
      </c>
      <c r="K120" s="32">
        <v>5000</v>
      </c>
      <c r="L120" s="29">
        <f>SUM($K$111:K119)+$L$107+IF(H120="before 5th",K120,0)</f>
        <v>1292946.2970651705</v>
      </c>
      <c r="M120" s="6">
        <f t="shared" si="13"/>
        <v>9373.8606537224859</v>
      </c>
      <c r="N120" s="78">
        <f t="shared" si="12"/>
        <v>0</v>
      </c>
      <c r="O120" s="82"/>
      <c r="P120" s="68"/>
      <c r="Q120" s="68"/>
      <c r="R120" s="20"/>
      <c r="S120" s="21"/>
    </row>
    <row r="121" spans="4:19">
      <c r="D121" s="19"/>
      <c r="E121" s="20"/>
      <c r="F121" s="20"/>
      <c r="G121" s="34">
        <v>8.6999999999999994E-2</v>
      </c>
      <c r="H121" s="71" t="s">
        <v>65</v>
      </c>
      <c r="I121" s="68"/>
      <c r="J121" s="4" t="s">
        <v>12</v>
      </c>
      <c r="K121" s="32">
        <v>5000</v>
      </c>
      <c r="L121" s="29">
        <f>SUM($K$111:K120)+$L$107+IF(H121="before 5th",K121,0)</f>
        <v>1297946.2970651705</v>
      </c>
      <c r="M121" s="6">
        <f t="shared" si="13"/>
        <v>9410.1106537224859</v>
      </c>
      <c r="N121" s="78">
        <f t="shared" si="12"/>
        <v>0</v>
      </c>
      <c r="O121" s="82"/>
      <c r="P121" s="68"/>
      <c r="Q121" s="68"/>
      <c r="R121" s="20"/>
      <c r="S121" s="21"/>
    </row>
    <row r="122" spans="4:19">
      <c r="D122" s="19"/>
      <c r="E122" s="20"/>
      <c r="F122" s="20"/>
      <c r="G122" s="34">
        <v>8.6999999999999994E-2</v>
      </c>
      <c r="H122" s="71" t="s">
        <v>65</v>
      </c>
      <c r="I122" s="68"/>
      <c r="J122" s="4" t="s">
        <v>13</v>
      </c>
      <c r="K122" s="32">
        <v>5000</v>
      </c>
      <c r="L122" s="29">
        <f>SUM($K$111:K121)+$L$107+IF(H122="before 5th",K122,0)</f>
        <v>1302946.2970651705</v>
      </c>
      <c r="M122" s="6">
        <f t="shared" si="13"/>
        <v>9446.3606537224859</v>
      </c>
      <c r="N122" s="78">
        <f t="shared" si="12"/>
        <v>0</v>
      </c>
      <c r="O122" s="82"/>
      <c r="P122" s="68"/>
      <c r="Q122" s="68"/>
      <c r="R122" s="20"/>
      <c r="S122" s="21"/>
    </row>
    <row r="123" spans="4:19">
      <c r="D123" s="19"/>
      <c r="E123" s="20"/>
      <c r="F123" s="20"/>
      <c r="G123" s="20"/>
      <c r="H123" s="20"/>
      <c r="I123" s="68"/>
      <c r="J123" s="7" t="s">
        <v>21</v>
      </c>
      <c r="K123" s="9"/>
      <c r="L123" s="9">
        <f>SUM(K111:K122)+SUM(M111:M122)+L107-N123</f>
        <v>1413910.1249098403</v>
      </c>
      <c r="M123" s="10"/>
      <c r="N123" s="68">
        <f>MAX(O111:O122)</f>
        <v>0</v>
      </c>
      <c r="O123" s="73"/>
      <c r="P123" s="20"/>
      <c r="Q123" s="20"/>
      <c r="R123" s="20"/>
      <c r="S123" s="21"/>
    </row>
    <row r="124" spans="4:19">
      <c r="D124" s="19"/>
      <c r="E124" s="20"/>
      <c r="F124" s="20"/>
      <c r="G124" s="20"/>
      <c r="H124" s="20"/>
      <c r="I124" s="68"/>
      <c r="J124" s="20"/>
      <c r="K124" s="20"/>
      <c r="L124" s="20"/>
      <c r="M124" s="20"/>
      <c r="N124" s="20"/>
      <c r="O124" s="20"/>
      <c r="P124" s="20"/>
      <c r="Q124" s="20"/>
      <c r="R124" s="20"/>
      <c r="S124" s="21"/>
    </row>
    <row r="125" spans="4:19">
      <c r="D125" s="19"/>
      <c r="E125" s="20"/>
      <c r="F125" s="20"/>
      <c r="G125" s="20"/>
      <c r="H125" s="20"/>
      <c r="I125" s="68"/>
      <c r="J125" s="122" t="s">
        <v>78</v>
      </c>
      <c r="K125" s="123"/>
      <c r="L125" s="123"/>
      <c r="M125" s="124"/>
      <c r="N125" s="74"/>
      <c r="O125" s="84" t="s">
        <v>69</v>
      </c>
      <c r="P125" s="20"/>
      <c r="Q125" s="20"/>
      <c r="R125" s="20"/>
      <c r="S125" s="21"/>
    </row>
    <row r="126" spans="4:19">
      <c r="D126" s="19"/>
      <c r="E126" s="20"/>
      <c r="F126" s="20"/>
      <c r="G126" s="95" t="s">
        <v>81</v>
      </c>
      <c r="H126" s="70" t="s">
        <v>64</v>
      </c>
      <c r="I126" s="68"/>
      <c r="J126" s="1" t="s">
        <v>1</v>
      </c>
      <c r="K126" s="2" t="s">
        <v>14</v>
      </c>
      <c r="L126" s="2" t="s">
        <v>0</v>
      </c>
      <c r="M126" s="3" t="s">
        <v>15</v>
      </c>
      <c r="N126" s="3"/>
      <c r="O126" s="97" t="s">
        <v>68</v>
      </c>
      <c r="P126" s="68"/>
      <c r="Q126" s="68"/>
      <c r="R126" s="20"/>
      <c r="S126" s="21"/>
    </row>
    <row r="127" spans="4:19">
      <c r="D127" s="19"/>
      <c r="E127" s="20"/>
      <c r="F127" s="20"/>
      <c r="G127" s="34">
        <v>8.6999999999999994E-2</v>
      </c>
      <c r="H127" s="71" t="s">
        <v>65</v>
      </c>
      <c r="I127" s="68"/>
      <c r="J127" s="4" t="s">
        <v>2</v>
      </c>
      <c r="K127" s="32">
        <v>5000</v>
      </c>
      <c r="L127" s="29">
        <f>$L$123+IF(H127="before 5th",K127,0)</f>
        <v>1418910.1249098403</v>
      </c>
      <c r="M127" s="6">
        <f>L127*G127/12</f>
        <v>10287.098405596342</v>
      </c>
      <c r="N127" s="78">
        <f t="shared" ref="N127:N138" si="14">IF(O127=MAX($O$127:$O$138),O127,IF(N126=MAX($O$127:$O$138),N126,0))</f>
        <v>0</v>
      </c>
      <c r="O127" s="98"/>
      <c r="P127" s="96"/>
      <c r="Q127" s="68"/>
      <c r="R127" s="20"/>
      <c r="S127" s="21"/>
    </row>
    <row r="128" spans="4:19">
      <c r="D128" s="19" t="str">
        <f>IF($M$9=0,"Withdrawal limit","")</f>
        <v>Withdrawal limit</v>
      </c>
      <c r="E128" s="20"/>
      <c r="F128" s="20">
        <f>60%*$L$91</f>
        <v>651399.51999917405</v>
      </c>
      <c r="G128" s="34">
        <v>8.6999999999999994E-2</v>
      </c>
      <c r="H128" s="71" t="s">
        <v>65</v>
      </c>
      <c r="I128" s="68"/>
      <c r="J128" s="4" t="s">
        <v>3</v>
      </c>
      <c r="K128" s="32">
        <v>5000</v>
      </c>
      <c r="L128" s="29">
        <f>SUM($K$127:K127)+$L$123+IF(H128="before 5th",K128,0)</f>
        <v>1423910.1249098403</v>
      </c>
      <c r="M128" s="6">
        <f t="shared" ref="M128:M138" si="15">L128*G128/12</f>
        <v>10323.348405596342</v>
      </c>
      <c r="N128" s="78">
        <f t="shared" si="14"/>
        <v>0</v>
      </c>
      <c r="O128" s="82"/>
      <c r="P128" s="20" t="s">
        <v>40</v>
      </c>
      <c r="Q128" s="20"/>
      <c r="R128" s="20"/>
      <c r="S128" s="21"/>
    </row>
    <row r="129" spans="4:19">
      <c r="D129" s="19"/>
      <c r="E129" s="20"/>
      <c r="F129" s="20"/>
      <c r="G129" s="34">
        <v>8.6999999999999994E-2</v>
      </c>
      <c r="H129" s="71" t="s">
        <v>65</v>
      </c>
      <c r="I129" s="68"/>
      <c r="J129" s="4" t="s">
        <v>4</v>
      </c>
      <c r="K129" s="32">
        <v>5000</v>
      </c>
      <c r="L129" s="29">
        <f>SUM($K$127:K128)+$L$123+IF(H129="before 5th",K129,0)</f>
        <v>1428910.1249098403</v>
      </c>
      <c r="M129" s="6">
        <f t="shared" si="15"/>
        <v>10359.598405596342</v>
      </c>
      <c r="N129" s="78">
        <f t="shared" si="14"/>
        <v>0</v>
      </c>
      <c r="O129" s="82"/>
      <c r="P129" s="83">
        <v>150000</v>
      </c>
      <c r="Q129" s="20"/>
      <c r="R129" s="20"/>
      <c r="S129" s="21"/>
    </row>
    <row r="130" spans="4:19">
      <c r="D130" s="19"/>
      <c r="E130" s="20"/>
      <c r="F130" s="20"/>
      <c r="G130" s="34">
        <v>8.6999999999999994E-2</v>
      </c>
      <c r="H130" s="71" t="s">
        <v>65</v>
      </c>
      <c r="I130" s="68"/>
      <c r="J130" s="4" t="s">
        <v>5</v>
      </c>
      <c r="K130" s="32">
        <v>5000</v>
      </c>
      <c r="L130" s="29">
        <f>SUM($K$127:K129)+$L$123+IF(H130="before 5th",K130,0)</f>
        <v>1433910.1249098403</v>
      </c>
      <c r="M130" s="6">
        <f t="shared" si="15"/>
        <v>10395.848405596342</v>
      </c>
      <c r="N130" s="78">
        <f t="shared" si="14"/>
        <v>0</v>
      </c>
      <c r="O130" s="82"/>
      <c r="P130" s="41" t="str">
        <f>IF(SUM(K127:K138)&gt;P129,"Warning: total investment exceeds allowed limit","")</f>
        <v/>
      </c>
      <c r="Q130" s="49"/>
      <c r="R130" s="49"/>
      <c r="S130" s="50"/>
    </row>
    <row r="131" spans="4:19">
      <c r="D131" s="19"/>
      <c r="E131" s="20"/>
      <c r="F131" s="20"/>
      <c r="G131" s="34">
        <v>8.6999999999999994E-2</v>
      </c>
      <c r="H131" s="71" t="s">
        <v>65</v>
      </c>
      <c r="I131" s="68"/>
      <c r="J131" s="4" t="s">
        <v>6</v>
      </c>
      <c r="K131" s="32">
        <v>5000</v>
      </c>
      <c r="L131" s="29">
        <f>SUM($K$127:K130)+$L$123+IF(H131="before 5th",K131,0)</f>
        <v>1438910.1249098403</v>
      </c>
      <c r="M131" s="6">
        <f t="shared" si="15"/>
        <v>10432.098405596342</v>
      </c>
      <c r="N131" s="78">
        <f t="shared" si="14"/>
        <v>0</v>
      </c>
      <c r="O131" s="82"/>
      <c r="P131" s="20"/>
      <c r="Q131" s="20"/>
      <c r="R131" s="20"/>
      <c r="S131" s="21"/>
    </row>
    <row r="132" spans="4:19">
      <c r="D132" s="19"/>
      <c r="E132" s="20"/>
      <c r="F132" s="20"/>
      <c r="G132" s="34">
        <v>8.6999999999999994E-2</v>
      </c>
      <c r="H132" s="71" t="s">
        <v>65</v>
      </c>
      <c r="I132" s="68"/>
      <c r="J132" s="4" t="s">
        <v>7</v>
      </c>
      <c r="K132" s="32">
        <v>5000</v>
      </c>
      <c r="L132" s="29">
        <f>SUM($K$127:K131)+$L$123+IF(H132="before 5th",K132,0)</f>
        <v>1443910.1249098403</v>
      </c>
      <c r="M132" s="6">
        <f t="shared" si="15"/>
        <v>10468.348405596342</v>
      </c>
      <c r="N132" s="78">
        <f t="shared" si="14"/>
        <v>0</v>
      </c>
      <c r="O132" s="82"/>
      <c r="P132" s="79" t="str">
        <f>IF(N139&gt;F128,"Withdrawal is above limit","")</f>
        <v/>
      </c>
      <c r="Q132" s="75"/>
      <c r="R132" s="75"/>
      <c r="S132" s="80"/>
    </row>
    <row r="133" spans="4:19">
      <c r="D133" s="19"/>
      <c r="E133" s="20"/>
      <c r="F133" s="20"/>
      <c r="G133" s="34">
        <v>8.6999999999999994E-2</v>
      </c>
      <c r="H133" s="71" t="s">
        <v>65</v>
      </c>
      <c r="I133" s="68"/>
      <c r="J133" s="4" t="s">
        <v>8</v>
      </c>
      <c r="K133" s="32">
        <v>5000</v>
      </c>
      <c r="L133" s="29">
        <f>SUM($K$127:K132)+$L$123+IF(H133="before 5th",K133,0)</f>
        <v>1448910.1249098403</v>
      </c>
      <c r="M133" s="6">
        <f t="shared" si="15"/>
        <v>10504.598405596342</v>
      </c>
      <c r="N133" s="78">
        <f t="shared" si="14"/>
        <v>0</v>
      </c>
      <c r="O133" s="82"/>
      <c r="P133" s="20"/>
      <c r="Q133" s="20"/>
      <c r="R133" s="20"/>
      <c r="S133" s="21"/>
    </row>
    <row r="134" spans="4:19">
      <c r="D134" s="19"/>
      <c r="E134" s="20"/>
      <c r="F134" s="20"/>
      <c r="G134" s="34">
        <v>8.6999999999999994E-2</v>
      </c>
      <c r="H134" s="71" t="s">
        <v>65</v>
      </c>
      <c r="I134" s="68"/>
      <c r="J134" s="4" t="s">
        <v>9</v>
      </c>
      <c r="K134" s="32">
        <v>5000</v>
      </c>
      <c r="L134" s="29">
        <f>SUM($K$127:K133)+$L$123+IF(H134="before 5th",K134,0)</f>
        <v>1453910.1249098403</v>
      </c>
      <c r="M134" s="6">
        <f t="shared" si="15"/>
        <v>10540.848405596342</v>
      </c>
      <c r="N134" s="78">
        <f t="shared" si="14"/>
        <v>0</v>
      </c>
      <c r="O134" s="82"/>
      <c r="P134" s="20"/>
      <c r="Q134" s="20"/>
      <c r="R134" s="20"/>
      <c r="S134" s="21"/>
    </row>
    <row r="135" spans="4:19">
      <c r="D135" s="19"/>
      <c r="E135" s="20"/>
      <c r="F135" s="20"/>
      <c r="G135" s="34">
        <v>8.6999999999999994E-2</v>
      </c>
      <c r="H135" s="71" t="s">
        <v>65</v>
      </c>
      <c r="I135" s="68"/>
      <c r="J135" s="4" t="s">
        <v>10</v>
      </c>
      <c r="K135" s="32">
        <v>5000</v>
      </c>
      <c r="L135" s="29">
        <f>SUM($K$127:K134)+$L$123+IF(H135="before 5th",K135,0)</f>
        <v>1458910.1249098403</v>
      </c>
      <c r="M135" s="6">
        <f t="shared" si="15"/>
        <v>10577.098405596342</v>
      </c>
      <c r="N135" s="78">
        <f t="shared" si="14"/>
        <v>0</v>
      </c>
      <c r="O135" s="82"/>
      <c r="P135" s="20"/>
      <c r="Q135" s="20"/>
      <c r="R135" s="20"/>
      <c r="S135" s="21"/>
    </row>
    <row r="136" spans="4:19">
      <c r="D136" s="19"/>
      <c r="E136" s="20"/>
      <c r="F136" s="20"/>
      <c r="G136" s="34">
        <v>8.6999999999999994E-2</v>
      </c>
      <c r="H136" s="71" t="s">
        <v>65</v>
      </c>
      <c r="I136" s="68"/>
      <c r="J136" s="4" t="s">
        <v>11</v>
      </c>
      <c r="K136" s="32">
        <v>5000</v>
      </c>
      <c r="L136" s="29">
        <f>SUM($K$127:K135)+$L$123+IF(H136="before 5th",K136,0)</f>
        <v>1463910.1249098403</v>
      </c>
      <c r="M136" s="6">
        <f t="shared" si="15"/>
        <v>10613.348405596342</v>
      </c>
      <c r="N136" s="78">
        <f t="shared" si="14"/>
        <v>0</v>
      </c>
      <c r="O136" s="82"/>
      <c r="P136" s="68"/>
      <c r="Q136" s="68"/>
      <c r="R136" s="20"/>
      <c r="S136" s="21"/>
    </row>
    <row r="137" spans="4:19">
      <c r="D137" s="19"/>
      <c r="E137" s="20"/>
      <c r="F137" s="20"/>
      <c r="G137" s="34">
        <v>8.6999999999999994E-2</v>
      </c>
      <c r="H137" s="71" t="s">
        <v>65</v>
      </c>
      <c r="I137" s="68"/>
      <c r="J137" s="4" t="s">
        <v>12</v>
      </c>
      <c r="K137" s="32">
        <v>5000</v>
      </c>
      <c r="L137" s="29">
        <f>SUM($K$127:K136)+$L$123+IF(H137="before 5th",K137,0)</f>
        <v>1468910.1249098403</v>
      </c>
      <c r="M137" s="6">
        <f t="shared" si="15"/>
        <v>10649.598405596342</v>
      </c>
      <c r="N137" s="78">
        <f t="shared" si="14"/>
        <v>0</v>
      </c>
      <c r="O137" s="82"/>
      <c r="P137" s="68"/>
      <c r="Q137" s="68"/>
      <c r="R137" s="20"/>
      <c r="S137" s="21"/>
    </row>
    <row r="138" spans="4:19">
      <c r="D138" s="19"/>
      <c r="E138" s="20"/>
      <c r="F138" s="20"/>
      <c r="G138" s="34">
        <v>8.6999999999999994E-2</v>
      </c>
      <c r="H138" s="71" t="s">
        <v>65</v>
      </c>
      <c r="I138" s="68"/>
      <c r="J138" s="4" t="s">
        <v>13</v>
      </c>
      <c r="K138" s="32">
        <v>5000</v>
      </c>
      <c r="L138" s="29">
        <f>SUM($K$127:K137)+$L$123+IF(H138="before 5th",K138,0)</f>
        <v>1473910.1249098403</v>
      </c>
      <c r="M138" s="6">
        <f t="shared" si="15"/>
        <v>10685.848405596342</v>
      </c>
      <c r="N138" s="78">
        <f t="shared" si="14"/>
        <v>0</v>
      </c>
      <c r="O138" s="82"/>
      <c r="P138" s="68"/>
      <c r="Q138" s="68"/>
      <c r="R138" s="20"/>
      <c r="S138" s="21"/>
    </row>
    <row r="139" spans="4:19">
      <c r="D139" s="19"/>
      <c r="E139" s="20"/>
      <c r="F139" s="20"/>
      <c r="G139" s="20"/>
      <c r="H139" s="20"/>
      <c r="I139" s="68"/>
      <c r="J139" s="7" t="s">
        <v>21</v>
      </c>
      <c r="K139" s="9"/>
      <c r="L139" s="9">
        <f>SUM(K127:K138)+SUM(M127:M138)+L123-N139</f>
        <v>1599747.8057769963</v>
      </c>
      <c r="M139" s="10"/>
      <c r="N139" s="68">
        <f>MAX(O127:O138)</f>
        <v>0</v>
      </c>
      <c r="O139" s="73"/>
      <c r="P139" s="20"/>
      <c r="Q139" s="20"/>
      <c r="R139" s="20"/>
      <c r="S139" s="21"/>
    </row>
    <row r="140" spans="4:19">
      <c r="D140" s="19"/>
      <c r="E140" s="20"/>
      <c r="F140" s="20"/>
      <c r="G140" s="20"/>
      <c r="H140" s="20"/>
      <c r="I140" s="68"/>
      <c r="J140" s="20"/>
      <c r="K140" s="20"/>
      <c r="L140" s="20"/>
      <c r="M140" s="20"/>
      <c r="N140" s="20"/>
      <c r="O140" s="20"/>
      <c r="P140" s="20"/>
      <c r="Q140" s="20"/>
      <c r="R140" s="20"/>
      <c r="S140" s="21"/>
    </row>
    <row r="141" spans="4:19">
      <c r="D141" s="19"/>
      <c r="E141" s="20"/>
      <c r="F141" s="20"/>
      <c r="G141" s="20"/>
      <c r="H141" s="20"/>
      <c r="I141" s="68"/>
      <c r="J141" s="122" t="s">
        <v>79</v>
      </c>
      <c r="K141" s="123"/>
      <c r="L141" s="123"/>
      <c r="M141" s="124"/>
      <c r="N141" s="74"/>
      <c r="O141" s="84" t="s">
        <v>69</v>
      </c>
      <c r="P141" s="20"/>
      <c r="Q141" s="20"/>
      <c r="R141" s="20"/>
      <c r="S141" s="21"/>
    </row>
    <row r="142" spans="4:19">
      <c r="D142" s="19"/>
      <c r="E142" s="20"/>
      <c r="F142" s="20"/>
      <c r="G142" s="95" t="s">
        <v>81</v>
      </c>
      <c r="H142" s="70" t="s">
        <v>64</v>
      </c>
      <c r="I142" s="68"/>
      <c r="J142" s="1" t="s">
        <v>1</v>
      </c>
      <c r="K142" s="2" t="s">
        <v>14</v>
      </c>
      <c r="L142" s="2" t="s">
        <v>0</v>
      </c>
      <c r="M142" s="3" t="s">
        <v>15</v>
      </c>
      <c r="N142" s="3"/>
      <c r="O142" s="97" t="s">
        <v>68</v>
      </c>
      <c r="P142" s="68"/>
      <c r="Q142" s="68"/>
      <c r="R142" s="20"/>
      <c r="S142" s="21"/>
    </row>
    <row r="143" spans="4:19">
      <c r="D143" s="19"/>
      <c r="E143" s="20"/>
      <c r="F143" s="20"/>
      <c r="G143" s="34">
        <v>8.6999999999999994E-2</v>
      </c>
      <c r="H143" s="71" t="s">
        <v>65</v>
      </c>
      <c r="I143" s="68"/>
      <c r="J143" s="4" t="s">
        <v>2</v>
      </c>
      <c r="K143" s="32">
        <v>5000</v>
      </c>
      <c r="L143" s="29">
        <f>$L$139+IF(H143="before 5th",K143,0)</f>
        <v>1604747.8057769963</v>
      </c>
      <c r="M143" s="6">
        <f>L143*G143/12</f>
        <v>11634.421591883221</v>
      </c>
      <c r="N143" s="78">
        <f t="shared" ref="N143:N154" si="16">IF(O143=MAX($O$143:$O$154),O143,IF(N142=MAX($O$143:$O$154),N142,0))</f>
        <v>0</v>
      </c>
      <c r="O143" s="98"/>
      <c r="P143" s="96"/>
      <c r="Q143" s="68"/>
      <c r="R143" s="20"/>
      <c r="S143" s="21"/>
    </row>
    <row r="144" spans="4:19">
      <c r="D144" s="19" t="str">
        <f>IF($M$9=0,"Withdrawal limit","")</f>
        <v>Withdrawal limit</v>
      </c>
      <c r="E144" s="20"/>
      <c r="F144" s="20">
        <f>60%*$L$91</f>
        <v>651399.51999917405</v>
      </c>
      <c r="G144" s="34">
        <v>8.6999999999999994E-2</v>
      </c>
      <c r="H144" s="71" t="s">
        <v>65</v>
      </c>
      <c r="I144" s="68"/>
      <c r="J144" s="4" t="s">
        <v>3</v>
      </c>
      <c r="K144" s="32">
        <v>5000</v>
      </c>
      <c r="L144" s="29">
        <f>SUM($K$143:K143)+$L$139+IF(H144="before 5th",K144,0)</f>
        <v>1609747.8057769963</v>
      </c>
      <c r="M144" s="6">
        <f t="shared" ref="M144:M154" si="17">L144*G144/12</f>
        <v>11670.671591883221</v>
      </c>
      <c r="N144" s="78">
        <f t="shared" si="16"/>
        <v>0</v>
      </c>
      <c r="O144" s="82"/>
      <c r="P144" s="20" t="s">
        <v>40</v>
      </c>
      <c r="Q144" s="20"/>
      <c r="R144" s="20"/>
      <c r="S144" s="21"/>
    </row>
    <row r="145" spans="4:19">
      <c r="D145" s="19"/>
      <c r="E145" s="20"/>
      <c r="F145" s="20"/>
      <c r="G145" s="34">
        <v>8.6999999999999994E-2</v>
      </c>
      <c r="H145" s="71" t="s">
        <v>65</v>
      </c>
      <c r="I145" s="68"/>
      <c r="J145" s="4" t="s">
        <v>4</v>
      </c>
      <c r="K145" s="32">
        <v>5000</v>
      </c>
      <c r="L145" s="29">
        <f>SUM($K$143:K144)+$L$139+IF(H145="before 5th",K145,0)</f>
        <v>1614747.8057769963</v>
      </c>
      <c r="M145" s="6">
        <f t="shared" si="17"/>
        <v>11706.921591883221</v>
      </c>
      <c r="N145" s="78">
        <f t="shared" si="16"/>
        <v>0</v>
      </c>
      <c r="O145" s="82"/>
      <c r="P145" s="54">
        <v>150000</v>
      </c>
      <c r="Q145" s="20"/>
      <c r="R145" s="20"/>
      <c r="S145" s="21"/>
    </row>
    <row r="146" spans="4:19">
      <c r="D146" s="19"/>
      <c r="E146" s="20"/>
      <c r="F146" s="20"/>
      <c r="G146" s="34">
        <v>8.6999999999999994E-2</v>
      </c>
      <c r="H146" s="71" t="s">
        <v>65</v>
      </c>
      <c r="I146" s="68"/>
      <c r="J146" s="4" t="s">
        <v>5</v>
      </c>
      <c r="K146" s="32">
        <v>5000</v>
      </c>
      <c r="L146" s="29">
        <f>SUM($K$143:K145)+$L$139+IF(H146="before 5th",K146,0)</f>
        <v>1619747.8057769963</v>
      </c>
      <c r="M146" s="6">
        <f t="shared" si="17"/>
        <v>11743.171591883221</v>
      </c>
      <c r="N146" s="78">
        <f t="shared" si="16"/>
        <v>0</v>
      </c>
      <c r="O146" s="82"/>
      <c r="P146" s="41" t="str">
        <f>IF(SUM(K143:K154)&gt;P145,"Warning: total investment exceeds allowed limit","")</f>
        <v/>
      </c>
      <c r="Q146" s="49"/>
      <c r="R146" s="49"/>
      <c r="S146" s="50"/>
    </row>
    <row r="147" spans="4:19">
      <c r="D147" s="19"/>
      <c r="E147" s="20"/>
      <c r="F147" s="20"/>
      <c r="G147" s="34">
        <v>8.6999999999999994E-2</v>
      </c>
      <c r="H147" s="71" t="s">
        <v>65</v>
      </c>
      <c r="I147" s="68"/>
      <c r="J147" s="4" t="s">
        <v>6</v>
      </c>
      <c r="K147" s="32">
        <v>5000</v>
      </c>
      <c r="L147" s="29">
        <f>SUM($K$143:K146)+$L$139+IF(H147="before 5th",K147,0)</f>
        <v>1624747.8057769963</v>
      </c>
      <c r="M147" s="6">
        <f t="shared" si="17"/>
        <v>11779.421591883221</v>
      </c>
      <c r="N147" s="78">
        <f t="shared" si="16"/>
        <v>0</v>
      </c>
      <c r="O147" s="82"/>
      <c r="P147" s="20"/>
      <c r="Q147" s="20"/>
      <c r="R147" s="20"/>
      <c r="S147" s="21"/>
    </row>
    <row r="148" spans="4:19">
      <c r="D148" s="19"/>
      <c r="E148" s="20"/>
      <c r="F148" s="20"/>
      <c r="G148" s="34">
        <v>8.6999999999999994E-2</v>
      </c>
      <c r="H148" s="71" t="s">
        <v>65</v>
      </c>
      <c r="I148" s="68"/>
      <c r="J148" s="4" t="s">
        <v>7</v>
      </c>
      <c r="K148" s="32">
        <v>5000</v>
      </c>
      <c r="L148" s="29">
        <f>SUM($K$143:K147)+$L$139+IF(H148="before 5th",K148,0)</f>
        <v>1629747.8057769963</v>
      </c>
      <c r="M148" s="6">
        <f t="shared" si="17"/>
        <v>11815.671591883221</v>
      </c>
      <c r="N148" s="78">
        <f t="shared" si="16"/>
        <v>0</v>
      </c>
      <c r="O148" s="82"/>
      <c r="P148" s="79" t="str">
        <f>IF(N155&gt;F144,"Withdrawal is above limit","")</f>
        <v/>
      </c>
      <c r="Q148" s="75"/>
      <c r="R148" s="75"/>
      <c r="S148" s="80"/>
    </row>
    <row r="149" spans="4:19">
      <c r="D149" s="19"/>
      <c r="E149" s="20"/>
      <c r="F149" s="20"/>
      <c r="G149" s="34">
        <v>8.6999999999999994E-2</v>
      </c>
      <c r="H149" s="71" t="s">
        <v>65</v>
      </c>
      <c r="I149" s="68"/>
      <c r="J149" s="4" t="s">
        <v>8</v>
      </c>
      <c r="K149" s="32">
        <v>5000</v>
      </c>
      <c r="L149" s="29">
        <f>SUM($K$143:K148)+$L$139+IF(H149="before 5th",K149,0)</f>
        <v>1634747.8057769963</v>
      </c>
      <c r="M149" s="6">
        <f t="shared" si="17"/>
        <v>11851.921591883221</v>
      </c>
      <c r="N149" s="78">
        <f t="shared" si="16"/>
        <v>0</v>
      </c>
      <c r="O149" s="82"/>
      <c r="P149" s="20"/>
      <c r="Q149" s="20"/>
      <c r="R149" s="20"/>
      <c r="S149" s="21"/>
    </row>
    <row r="150" spans="4:19">
      <c r="D150" s="76"/>
      <c r="E150" s="20"/>
      <c r="F150" s="20"/>
      <c r="G150" s="34">
        <v>8.6999999999999994E-2</v>
      </c>
      <c r="H150" s="71" t="s">
        <v>65</v>
      </c>
      <c r="I150" s="68"/>
      <c r="J150" s="4" t="s">
        <v>9</v>
      </c>
      <c r="K150" s="32">
        <v>5000</v>
      </c>
      <c r="L150" s="29">
        <f>SUM($K$143:K149)+$L$139+IF(H150="before 5th",K150,0)</f>
        <v>1639747.8057769963</v>
      </c>
      <c r="M150" s="6">
        <f t="shared" si="17"/>
        <v>11888.171591883221</v>
      </c>
      <c r="N150" s="78">
        <f t="shared" si="16"/>
        <v>0</v>
      </c>
      <c r="O150" s="82"/>
      <c r="P150" s="20"/>
      <c r="Q150" s="20"/>
      <c r="R150" s="20"/>
      <c r="S150" s="21"/>
    </row>
    <row r="151" spans="4:19">
      <c r="D151" s="19"/>
      <c r="E151" s="20"/>
      <c r="F151" s="20"/>
      <c r="G151" s="34">
        <v>8.6999999999999994E-2</v>
      </c>
      <c r="H151" s="71" t="s">
        <v>65</v>
      </c>
      <c r="I151" s="68"/>
      <c r="J151" s="4" t="s">
        <v>10</v>
      </c>
      <c r="K151" s="32">
        <v>5000</v>
      </c>
      <c r="L151" s="29">
        <f>SUM($K$143:K150)+$L$139+IF(H151="before 5th",K151,0)</f>
        <v>1644747.8057769963</v>
      </c>
      <c r="M151" s="6">
        <f t="shared" si="17"/>
        <v>11924.421591883221</v>
      </c>
      <c r="N151" s="78">
        <f t="shared" si="16"/>
        <v>0</v>
      </c>
      <c r="O151" s="82"/>
      <c r="P151" s="20"/>
      <c r="Q151" s="20"/>
      <c r="R151" s="20"/>
      <c r="S151" s="21"/>
    </row>
    <row r="152" spans="4:19">
      <c r="D152" s="19"/>
      <c r="E152" s="20"/>
      <c r="F152" s="20"/>
      <c r="G152" s="34">
        <v>8.6999999999999994E-2</v>
      </c>
      <c r="H152" s="71" t="s">
        <v>65</v>
      </c>
      <c r="I152" s="68"/>
      <c r="J152" s="4" t="s">
        <v>11</v>
      </c>
      <c r="K152" s="32">
        <v>5000</v>
      </c>
      <c r="L152" s="29">
        <f>SUM($K$143:K151)+$L$139+IF(H152="before 5th",K152,0)</f>
        <v>1649747.8057769963</v>
      </c>
      <c r="M152" s="6">
        <f t="shared" si="17"/>
        <v>11960.671591883221</v>
      </c>
      <c r="N152" s="78">
        <f t="shared" si="16"/>
        <v>0</v>
      </c>
      <c r="O152" s="82"/>
      <c r="P152" s="68"/>
      <c r="Q152" s="68"/>
      <c r="R152" s="20"/>
      <c r="S152" s="21"/>
    </row>
    <row r="153" spans="4:19">
      <c r="D153" s="19"/>
      <c r="E153" s="20"/>
      <c r="F153" s="20"/>
      <c r="G153" s="34">
        <v>8.6999999999999994E-2</v>
      </c>
      <c r="H153" s="71" t="s">
        <v>65</v>
      </c>
      <c r="I153" s="68"/>
      <c r="J153" s="4" t="s">
        <v>12</v>
      </c>
      <c r="K153" s="32">
        <v>5000</v>
      </c>
      <c r="L153" s="29">
        <f>SUM($K$143:K152)+$L$139+IF(H153="before 5th",K153,0)</f>
        <v>1654747.8057769963</v>
      </c>
      <c r="M153" s="6">
        <f t="shared" si="17"/>
        <v>11996.921591883221</v>
      </c>
      <c r="N153" s="78">
        <f t="shared" si="16"/>
        <v>0</v>
      </c>
      <c r="O153" s="82"/>
      <c r="P153" s="68"/>
      <c r="Q153" s="68"/>
      <c r="R153" s="20"/>
      <c r="S153" s="21"/>
    </row>
    <row r="154" spans="4:19">
      <c r="D154" s="19"/>
      <c r="E154" s="20"/>
      <c r="F154" s="20"/>
      <c r="G154" s="34">
        <v>8.6999999999999994E-2</v>
      </c>
      <c r="H154" s="71" t="s">
        <v>65</v>
      </c>
      <c r="I154" s="68"/>
      <c r="J154" s="4" t="s">
        <v>13</v>
      </c>
      <c r="K154" s="32">
        <v>5000</v>
      </c>
      <c r="L154" s="29">
        <f>SUM($K$143:K153)+$L$139+IF(H154="before 5th",K154,0)</f>
        <v>1659747.8057769963</v>
      </c>
      <c r="M154" s="6">
        <f t="shared" si="17"/>
        <v>12033.171591883221</v>
      </c>
      <c r="N154" s="78">
        <f t="shared" si="16"/>
        <v>0</v>
      </c>
      <c r="O154" s="82"/>
      <c r="P154" s="68"/>
      <c r="Q154" s="68"/>
      <c r="R154" s="20"/>
      <c r="S154" s="21"/>
    </row>
    <row r="155" spans="4:19">
      <c r="D155" s="76"/>
      <c r="E155" s="20"/>
      <c r="F155" s="20"/>
      <c r="G155" s="20"/>
      <c r="H155" s="20"/>
      <c r="I155" s="68"/>
      <c r="J155" s="7" t="s">
        <v>21</v>
      </c>
      <c r="K155" s="9"/>
      <c r="L155" s="9">
        <f>SUM(K143:K154)+SUM(M143:M154)+L139-N155</f>
        <v>1801753.3648795949</v>
      </c>
      <c r="M155" s="10"/>
      <c r="N155" s="68">
        <f>MAX(O143:O154)</f>
        <v>0</v>
      </c>
      <c r="O155" s="73"/>
      <c r="P155" s="20"/>
      <c r="Q155" s="20"/>
      <c r="R155" s="20"/>
      <c r="S155" s="21"/>
    </row>
    <row r="156" spans="4:19">
      <c r="D156" s="19"/>
      <c r="E156" s="20"/>
      <c r="F156" s="20"/>
      <c r="G156" s="20"/>
      <c r="H156" s="20"/>
      <c r="I156" s="68"/>
      <c r="J156" s="20"/>
      <c r="K156" s="20"/>
      <c r="L156" s="20"/>
      <c r="M156" s="20"/>
      <c r="N156" s="20"/>
      <c r="O156" s="20"/>
      <c r="P156" s="20"/>
      <c r="Q156" s="20"/>
      <c r="R156" s="20"/>
      <c r="S156" s="21"/>
    </row>
    <row r="157" spans="4:19">
      <c r="D157" s="19"/>
      <c r="E157" s="20"/>
      <c r="F157" s="20"/>
      <c r="G157" s="20"/>
      <c r="H157" s="20"/>
      <c r="I157" s="68"/>
      <c r="J157" s="122" t="s">
        <v>80</v>
      </c>
      <c r="K157" s="123"/>
      <c r="L157" s="123"/>
      <c r="M157" s="124"/>
      <c r="N157" s="74"/>
      <c r="O157" s="84" t="s">
        <v>69</v>
      </c>
      <c r="P157" s="20"/>
      <c r="Q157" s="20"/>
      <c r="R157" s="20"/>
      <c r="S157" s="21"/>
    </row>
    <row r="158" spans="4:19">
      <c r="D158" s="19"/>
      <c r="E158" s="20"/>
      <c r="F158" s="20"/>
      <c r="G158" s="95" t="s">
        <v>81</v>
      </c>
      <c r="H158" s="70" t="s">
        <v>64</v>
      </c>
      <c r="I158" s="68"/>
      <c r="J158" s="1" t="s">
        <v>1</v>
      </c>
      <c r="K158" s="2" t="s">
        <v>14</v>
      </c>
      <c r="L158" s="2" t="s">
        <v>0</v>
      </c>
      <c r="M158" s="3" t="s">
        <v>15</v>
      </c>
      <c r="N158" s="3"/>
      <c r="O158" s="97" t="s">
        <v>68</v>
      </c>
      <c r="P158" s="68"/>
      <c r="Q158" s="68"/>
      <c r="R158" s="20"/>
      <c r="S158" s="21"/>
    </row>
    <row r="159" spans="4:19">
      <c r="D159" s="19"/>
      <c r="E159" s="20"/>
      <c r="F159" s="20"/>
      <c r="G159" s="34">
        <v>8.6999999999999994E-2</v>
      </c>
      <c r="H159" s="71" t="s">
        <v>65</v>
      </c>
      <c r="I159" s="68"/>
      <c r="J159" s="4" t="s">
        <v>2</v>
      </c>
      <c r="K159" s="32">
        <v>5000</v>
      </c>
      <c r="L159" s="29">
        <f>$L$155+IF(H159="before 5th",K159,0)</f>
        <v>1806753.3648795949</v>
      </c>
      <c r="M159" s="6">
        <f>L159*G159/12</f>
        <v>13098.961895377062</v>
      </c>
      <c r="N159" s="78">
        <f>IF(O159=MAX($O$159:$O$170),O159,IF(N158=MAX($O$159:$O$170),N158,0))</f>
        <v>0</v>
      </c>
      <c r="O159" s="98"/>
      <c r="P159" s="96"/>
      <c r="Q159" s="68"/>
      <c r="R159" s="20"/>
      <c r="S159" s="21"/>
    </row>
    <row r="160" spans="4:19">
      <c r="D160" s="19" t="str">
        <f>IF($M$9=0,"Withdrawal limit","")</f>
        <v>Withdrawal limit</v>
      </c>
      <c r="E160" s="20"/>
      <c r="F160" s="20">
        <f>60%*$L$91</f>
        <v>651399.51999917405</v>
      </c>
      <c r="G160" s="34">
        <v>8.6999999999999994E-2</v>
      </c>
      <c r="H160" s="71" t="s">
        <v>65</v>
      </c>
      <c r="I160" s="68"/>
      <c r="J160" s="4" t="s">
        <v>3</v>
      </c>
      <c r="K160" s="32">
        <v>5000</v>
      </c>
      <c r="L160" s="29">
        <f>SUM($K$159:K159)+$L$155+IF(H160="before 5th",K160,0)</f>
        <v>1811753.3648795949</v>
      </c>
      <c r="M160" s="6">
        <f t="shared" ref="M160:M170" si="18">L160*G160/12</f>
        <v>13135.211895377062</v>
      </c>
      <c r="N160" s="78">
        <f t="shared" ref="N160:N170" si="19">IF(O160=MAX($O$159:$O$170),O160,IF(N159=MAX($O$159:$O$170),N159,0))</f>
        <v>0</v>
      </c>
      <c r="O160" s="82"/>
      <c r="P160" s="20" t="s">
        <v>40</v>
      </c>
      <c r="Q160" s="20"/>
      <c r="R160" s="20"/>
      <c r="S160" s="21"/>
    </row>
    <row r="161" spans="4:19">
      <c r="D161" s="19"/>
      <c r="E161" s="20"/>
      <c r="F161" s="20"/>
      <c r="G161" s="34">
        <v>8.6999999999999994E-2</v>
      </c>
      <c r="H161" s="71" t="s">
        <v>65</v>
      </c>
      <c r="I161" s="68"/>
      <c r="J161" s="4" t="s">
        <v>4</v>
      </c>
      <c r="K161" s="32">
        <v>5000</v>
      </c>
      <c r="L161" s="29">
        <f>SUM($K$159:K160)+$L$155+IF(H161="before 5th",K161,0)</f>
        <v>1816753.3648795949</v>
      </c>
      <c r="M161" s="6">
        <f t="shared" si="18"/>
        <v>13171.461895377062</v>
      </c>
      <c r="N161" s="78">
        <f t="shared" si="19"/>
        <v>0</v>
      </c>
      <c r="O161" s="82"/>
      <c r="P161" s="54">
        <v>150000</v>
      </c>
      <c r="Q161" s="20"/>
      <c r="R161" s="20"/>
      <c r="S161" s="21"/>
    </row>
    <row r="162" spans="4:19">
      <c r="D162" s="19"/>
      <c r="E162" s="20"/>
      <c r="F162" s="20"/>
      <c r="G162" s="34">
        <v>8.6999999999999994E-2</v>
      </c>
      <c r="H162" s="71" t="s">
        <v>65</v>
      </c>
      <c r="I162" s="68"/>
      <c r="J162" s="4" t="s">
        <v>5</v>
      </c>
      <c r="K162" s="32">
        <v>5000</v>
      </c>
      <c r="L162" s="29">
        <f>SUM($K$159:K161)+$L$155+IF(H162="before 5th",K162,0)</f>
        <v>1821753.3648795949</v>
      </c>
      <c r="M162" s="6">
        <f t="shared" si="18"/>
        <v>13207.711895377062</v>
      </c>
      <c r="N162" s="78">
        <f t="shared" si="19"/>
        <v>0</v>
      </c>
      <c r="O162" s="82"/>
      <c r="P162" s="41" t="str">
        <f>IF(SUM(K159:K170)&gt;P161,"Warning: total investment exceeds allowed limit","")</f>
        <v/>
      </c>
      <c r="Q162" s="49"/>
      <c r="R162" s="49"/>
      <c r="S162" s="50"/>
    </row>
    <row r="163" spans="4:19">
      <c r="D163" s="19"/>
      <c r="E163" s="20"/>
      <c r="F163" s="20"/>
      <c r="G163" s="34">
        <v>8.6999999999999994E-2</v>
      </c>
      <c r="H163" s="71" t="s">
        <v>65</v>
      </c>
      <c r="I163" s="68"/>
      <c r="J163" s="4" t="s">
        <v>6</v>
      </c>
      <c r="K163" s="32">
        <v>5000</v>
      </c>
      <c r="L163" s="29">
        <f>SUM($K$159:K162)+$L$155+IF(H163="before 5th",K163,0)</f>
        <v>1826753.3648795949</v>
      </c>
      <c r="M163" s="6">
        <f t="shared" si="18"/>
        <v>13243.961895377062</v>
      </c>
      <c r="N163" s="78">
        <f t="shared" si="19"/>
        <v>0</v>
      </c>
      <c r="O163" s="82"/>
      <c r="P163" s="20"/>
      <c r="Q163" s="20"/>
      <c r="R163" s="20"/>
      <c r="S163" s="21"/>
    </row>
    <row r="164" spans="4:19">
      <c r="D164" s="19"/>
      <c r="E164" s="20"/>
      <c r="F164" s="20"/>
      <c r="G164" s="34">
        <v>8.6999999999999994E-2</v>
      </c>
      <c r="H164" s="71" t="s">
        <v>65</v>
      </c>
      <c r="I164" s="68"/>
      <c r="J164" s="4" t="s">
        <v>7</v>
      </c>
      <c r="K164" s="32">
        <v>5000</v>
      </c>
      <c r="L164" s="29">
        <f>SUM($K$159:K163)+$L$155+IF(H164="before 5th",K164,0)</f>
        <v>1831753.3648795949</v>
      </c>
      <c r="M164" s="6">
        <f t="shared" si="18"/>
        <v>13280.211895377062</v>
      </c>
      <c r="N164" s="78">
        <f t="shared" si="19"/>
        <v>0</v>
      </c>
      <c r="O164" s="82"/>
      <c r="P164" s="79" t="str">
        <f>IF(N171&gt;F160,"Withdrawal is above limit","")</f>
        <v/>
      </c>
      <c r="Q164" s="75"/>
      <c r="R164" s="75"/>
      <c r="S164" s="80"/>
    </row>
    <row r="165" spans="4:19">
      <c r="D165" s="19"/>
      <c r="E165" s="20"/>
      <c r="F165" s="20"/>
      <c r="G165" s="34">
        <v>8.6999999999999994E-2</v>
      </c>
      <c r="H165" s="71" t="s">
        <v>65</v>
      </c>
      <c r="I165" s="68"/>
      <c r="J165" s="4" t="s">
        <v>8</v>
      </c>
      <c r="K165" s="32">
        <v>5000</v>
      </c>
      <c r="L165" s="29">
        <f>SUM($K$159:K164)+$L$155+IF(H165="before 5th",K165,0)</f>
        <v>1836753.3648795949</v>
      </c>
      <c r="M165" s="6">
        <f t="shared" si="18"/>
        <v>13316.461895377062</v>
      </c>
      <c r="N165" s="78">
        <f t="shared" si="19"/>
        <v>0</v>
      </c>
      <c r="O165" s="82"/>
      <c r="P165" s="20"/>
      <c r="Q165" s="20"/>
      <c r="R165" s="20"/>
      <c r="S165" s="21"/>
    </row>
    <row r="166" spans="4:19">
      <c r="D166" s="76"/>
      <c r="E166" s="20"/>
      <c r="F166" s="20"/>
      <c r="G166" s="34">
        <v>8.6999999999999994E-2</v>
      </c>
      <c r="H166" s="71" t="s">
        <v>65</v>
      </c>
      <c r="I166" s="68"/>
      <c r="J166" s="4" t="s">
        <v>9</v>
      </c>
      <c r="K166" s="32">
        <v>5000</v>
      </c>
      <c r="L166" s="29">
        <f>SUM($K$159:K165)+$L$155+IF(H166="before 5th",K166,0)</f>
        <v>1841753.3648795949</v>
      </c>
      <c r="M166" s="6">
        <f t="shared" si="18"/>
        <v>13352.711895377062</v>
      </c>
      <c r="N166" s="78">
        <f t="shared" si="19"/>
        <v>0</v>
      </c>
      <c r="O166" s="82"/>
      <c r="P166" s="20"/>
      <c r="Q166" s="20"/>
      <c r="R166" s="20"/>
      <c r="S166" s="21"/>
    </row>
    <row r="167" spans="4:19">
      <c r="D167" s="19"/>
      <c r="E167" s="20"/>
      <c r="F167" s="20"/>
      <c r="G167" s="34">
        <v>8.6999999999999994E-2</v>
      </c>
      <c r="H167" s="71" t="s">
        <v>65</v>
      </c>
      <c r="I167" s="68"/>
      <c r="J167" s="4" t="s">
        <v>10</v>
      </c>
      <c r="K167" s="32">
        <v>5000</v>
      </c>
      <c r="L167" s="29">
        <f>SUM($K$159:K166)+$L$155+IF(H167="before 5th",K167,0)</f>
        <v>1846753.3648795949</v>
      </c>
      <c r="M167" s="6">
        <f t="shared" si="18"/>
        <v>13388.961895377062</v>
      </c>
      <c r="N167" s="78">
        <f t="shared" si="19"/>
        <v>0</v>
      </c>
      <c r="O167" s="82"/>
      <c r="P167" s="20"/>
      <c r="Q167" s="20"/>
      <c r="R167" s="20"/>
      <c r="S167" s="21"/>
    </row>
    <row r="168" spans="4:19">
      <c r="D168" s="19"/>
      <c r="E168" s="20"/>
      <c r="F168" s="20"/>
      <c r="G168" s="34">
        <v>8.6999999999999994E-2</v>
      </c>
      <c r="H168" s="71" t="s">
        <v>65</v>
      </c>
      <c r="I168" s="68"/>
      <c r="J168" s="4" t="s">
        <v>11</v>
      </c>
      <c r="K168" s="32">
        <v>5000</v>
      </c>
      <c r="L168" s="29">
        <f>SUM($K$159:K167)+$L$155+IF(H168="before 5th",K168,0)</f>
        <v>1851753.3648795949</v>
      </c>
      <c r="M168" s="6">
        <f t="shared" si="18"/>
        <v>13425.211895377062</v>
      </c>
      <c r="N168" s="78">
        <f t="shared" si="19"/>
        <v>0</v>
      </c>
      <c r="O168" s="82"/>
      <c r="P168" s="68"/>
      <c r="Q168" s="68"/>
      <c r="R168" s="20"/>
      <c r="S168" s="21"/>
    </row>
    <row r="169" spans="4:19">
      <c r="D169" s="19"/>
      <c r="E169" s="20"/>
      <c r="F169" s="20"/>
      <c r="G169" s="34">
        <v>8.6999999999999994E-2</v>
      </c>
      <c r="H169" s="71" t="s">
        <v>65</v>
      </c>
      <c r="I169" s="68"/>
      <c r="J169" s="4" t="s">
        <v>12</v>
      </c>
      <c r="K169" s="32">
        <v>5000</v>
      </c>
      <c r="L169" s="29">
        <f>SUM($K$159:K168)+$L$155+IF(H169="before 5th",K169,0)</f>
        <v>1856753.3648795949</v>
      </c>
      <c r="M169" s="6">
        <f t="shared" si="18"/>
        <v>13461.461895377062</v>
      </c>
      <c r="N169" s="78">
        <f t="shared" si="19"/>
        <v>0</v>
      </c>
      <c r="O169" s="82"/>
      <c r="P169" s="68"/>
      <c r="Q169" s="68"/>
      <c r="R169" s="20"/>
      <c r="S169" s="21"/>
    </row>
    <row r="170" spans="4:19">
      <c r="D170" s="19"/>
      <c r="E170" s="20"/>
      <c r="F170" s="20"/>
      <c r="G170" s="34">
        <v>8.6999999999999994E-2</v>
      </c>
      <c r="H170" s="71" t="s">
        <v>65</v>
      </c>
      <c r="I170" s="68"/>
      <c r="J170" s="4" t="s">
        <v>13</v>
      </c>
      <c r="K170" s="32">
        <v>5000</v>
      </c>
      <c r="L170" s="29">
        <f>SUM($K$159:K169)+$L$155+IF(H170="before 5th",K170,0)</f>
        <v>1861753.3648795949</v>
      </c>
      <c r="M170" s="6">
        <f t="shared" si="18"/>
        <v>13497.711895377062</v>
      </c>
      <c r="N170" s="78">
        <f t="shared" si="19"/>
        <v>0</v>
      </c>
      <c r="O170" s="82"/>
      <c r="P170" s="68"/>
      <c r="Q170" s="68"/>
      <c r="R170" s="20"/>
      <c r="S170" s="21"/>
    </row>
    <row r="171" spans="4:19">
      <c r="D171" s="76"/>
      <c r="E171" s="20"/>
      <c r="F171" s="20"/>
      <c r="G171" s="20"/>
      <c r="H171" s="20"/>
      <c r="I171" s="68"/>
      <c r="J171" s="7" t="s">
        <v>21</v>
      </c>
      <c r="K171" s="9"/>
      <c r="L171" s="9">
        <f>SUM(K159:K170)+SUM(M159:M170)+L155-N171</f>
        <v>2021333.4076241197</v>
      </c>
      <c r="M171" s="10"/>
      <c r="N171" s="68">
        <f>MAX(O159:O170)</f>
        <v>0</v>
      </c>
      <c r="O171" s="73"/>
      <c r="P171" s="20"/>
      <c r="Q171" s="20"/>
      <c r="R171" s="20"/>
      <c r="S171" s="21"/>
    </row>
    <row r="172" spans="4:19" ht="7.2" customHeight="1">
      <c r="D172" s="92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4"/>
    </row>
    <row r="252" spans="4:20">
      <c r="T252" s="49"/>
    </row>
    <row r="253" spans="4:20">
      <c r="D253" s="49"/>
      <c r="E253" s="49"/>
      <c r="F253" s="49"/>
      <c r="G253" s="49"/>
      <c r="H253" s="49"/>
      <c r="I253" s="75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</row>
  </sheetData>
  <mergeCells count="13">
    <mergeCell ref="J45:M45"/>
    <mergeCell ref="J61:M61"/>
    <mergeCell ref="J157:M157"/>
    <mergeCell ref="J77:M77"/>
    <mergeCell ref="J93:M93"/>
    <mergeCell ref="J109:M109"/>
    <mergeCell ref="J125:M125"/>
    <mergeCell ref="J141:M141"/>
    <mergeCell ref="D2:S3"/>
    <mergeCell ref="E8:F8"/>
    <mergeCell ref="Q8:R8"/>
    <mergeCell ref="J13:M13"/>
    <mergeCell ref="J29:M29"/>
  </mergeCells>
  <dataValidations disablePrompts="1" count="1">
    <dataValidation type="list" allowBlank="1" showInputMessage="1" showErrorMessage="1" sqref="H31:H42 H127:H138 H47:H58 H63:H74 H79:H90 H95:H106 H111:H122 H143:H154 H15:H26 H159:H170">
      <formula1>$AD$1:$AD$2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J4:J5"/>
  <sheetViews>
    <sheetView workbookViewId="0">
      <selection activeCell="J1" sqref="J1"/>
    </sheetView>
  </sheetViews>
  <sheetFormatPr defaultRowHeight="15.6"/>
  <sheetData>
    <row r="4" spans="10:10">
      <c r="J4" t="s">
        <v>62</v>
      </c>
    </row>
    <row r="5" spans="10:10">
      <c r="J5" t="s">
        <v>63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PPF Calculator</vt:lpstr>
      <vt:lpstr>Goal Calculator</vt:lpstr>
      <vt:lpstr>PPF Tracker</vt:lpstr>
      <vt:lpstr>Post 15 yearsTracker </vt:lpstr>
      <vt:lpstr>Interest Rate History</vt:lpstr>
    </vt:vector>
  </TitlesOfParts>
  <Company>justchells@gmail.com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Karthikeyan Chellappa</dc:creator>
  <cp:lastModifiedBy>pattabiraman</cp:lastModifiedBy>
  <dcterms:created xsi:type="dcterms:W3CDTF">2013-11-06T04:49:38Z</dcterms:created>
  <dcterms:modified xsi:type="dcterms:W3CDTF">2016-01-03T12:50:06Z</dcterms:modified>
</cp:coreProperties>
</file>