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108" windowWidth="19920" windowHeight="7500" tabRatio="741"/>
  </bookViews>
  <sheets>
    <sheet name="Retirement" sheetId="1" r:id="rId1"/>
    <sheet name="Other goals" sheetId="6" r:id="rId2"/>
    <sheet name="_SSC" sheetId="4" state="veryHidden" r:id="rId3"/>
    <sheet name="summary" sheetId="9" r:id="rId4"/>
    <sheet name="cashflow" sheetId="8" r:id="rId5"/>
    <sheet name="Graphs" sheetId="10" r:id="rId6"/>
    <sheet name="retirement-cashflow" sheetId="11" state="hidden" r:id="rId7"/>
    <sheet name="Keep short-term goals separate" sheetId="12" r:id="rId8"/>
    <sheet name="Investment tracker" sheetId="1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ctualsipend">[1]Fund!$P$5</definedName>
    <definedName name="actvalm">#REF!</definedName>
    <definedName name="adate">[1]Analysis!$AD$3</definedName>
    <definedName name="amfi">OFFSET('[1]Add new AMFI Record'!$V$2,,,COUNTIF('[1]Add new AMFI Record'!$V$2:$V$10000,"?*"),)</definedName>
    <definedName name="cii">'[1]Capital Gains'!$BH$3</definedName>
    <definedName name="curr1" localSheetId="8">#REF!</definedName>
    <definedName name="curr1" localSheetId="1">'Other goals'!$B$1:$B$13</definedName>
    <definedName name="curr1">#REF!</definedName>
    <definedName name="current1" localSheetId="8">#REF!</definedName>
    <definedName name="current1" localSheetId="1">'Other goals'!#REF!</definedName>
    <definedName name="current1">#REF!</definedName>
    <definedName name="date">[1]lscal!$Q$1</definedName>
    <definedName name="datecg">'[1]Capital Gains'!$F$10</definedName>
    <definedName name="datem">#REF!</definedName>
    <definedName name="debt">[2]Summary!$E$5</definedName>
    <definedName name="elist">'[1]error-list'!$I$2:$I$1005</definedName>
    <definedName name="equity">[2]Summary!$E$4</definedName>
    <definedName name="exit">'[1]Capital Gains'!#REF!</definedName>
    <definedName name="flock">'[1]Capital Gains'!$C$5</definedName>
    <definedName name="g0" localSheetId="8">'[3]Investment reqd. for retirement'!$E$23</definedName>
    <definedName name="g0">'[4]Investment reqd. for retirement'!$E$23</definedName>
    <definedName name="gcorpus1" localSheetId="8">#REF!</definedName>
    <definedName name="gcorpus1" localSheetId="1">'Other goals'!#REF!</definedName>
    <definedName name="gcorpus1">#REF!</definedName>
    <definedName name="goal1" localSheetId="8">'[5]Other goals'!$B$6</definedName>
    <definedName name="goal1">'Other goals'!$B$13</definedName>
    <definedName name="goal10f">'[1]Goal Tracker'!$BR$4:$BR$126</definedName>
    <definedName name="goal1f">'[1]Goal Tracker'!$BI$4:$BI$126</definedName>
    <definedName name="goal2" localSheetId="8">'[5]Other goals'!$D$6</definedName>
    <definedName name="goal2">'Other goals'!$D$13</definedName>
    <definedName name="goal2f">'[1]Goal Tracker'!$BJ$4:$BJ$126</definedName>
    <definedName name="goal3" localSheetId="8">'[5]Other goals'!$F$6</definedName>
    <definedName name="goal3">'Other goals'!$F$13</definedName>
    <definedName name="goal3f">'[1]Goal Tracker'!$BK$4:$BK$126</definedName>
    <definedName name="goal4" localSheetId="8">'[5]Other goals'!$H$6</definedName>
    <definedName name="goal4">'Other goals'!$H$13</definedName>
    <definedName name="goal4f">'[1]Goal Tracker'!$BL$4:$BL$126</definedName>
    <definedName name="goal5" localSheetId="8">'[5]Other goals'!$J$6</definedName>
    <definedName name="goal5">'Other goals'!$J$13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crement" localSheetId="8">[5]summary!$B$13</definedName>
    <definedName name="increment">summary!$B$13</definedName>
    <definedName name="infla1" localSheetId="8">#REF!</definedName>
    <definedName name="infla1" localSheetId="1">'Other goals'!#REF!</definedName>
    <definedName name="infla1">#REF!</definedName>
    <definedName name="interest" localSheetId="8">[5]summary!$B$12</definedName>
    <definedName name="interest">summary!$B$12</definedName>
    <definedName name="inv">[1]Analysis!$O$1</definedName>
    <definedName name="invest" localSheetId="8">[5]cashflow!$L$1</definedName>
    <definedName name="invest">cashflow!$L$1</definedName>
    <definedName name="loansip1" localSheetId="8">[5]summary!$B$15</definedName>
    <definedName name="loansip1">summary!$B$15</definedName>
    <definedName name="loansip2" localSheetId="8">[5]summary!$B$16</definedName>
    <definedName name="loansip2">summary!$B$16</definedName>
    <definedName name="loany1" localSheetId="8">[5]summary!$D$15</definedName>
    <definedName name="loany1">summary!$D$15</definedName>
    <definedName name="loany2" localSheetId="8">[5]summary!$D$16</definedName>
    <definedName name="loany2">summary!$D$16</definedName>
    <definedName name="lockin">'[1]Capital Gains'!$N$2</definedName>
    <definedName name="mf10g">[2]Summary!$M$28</definedName>
    <definedName name="mf4g">[2]Summary!$M$16</definedName>
    <definedName name="mf5g">[2]Summary!$M$18</definedName>
    <definedName name="mf6g">[2]Summary!$M$20</definedName>
    <definedName name="mf7g">[2]Summary!$M$22</definedName>
    <definedName name="mf8g">[2]Summary!$M$24</definedName>
    <definedName name="mf9g">[2]Summary!$M$26</definedName>
    <definedName name="mfnav1">[2]Summary!$D$10</definedName>
    <definedName name="mfnav10">[2]Summary!$D$28</definedName>
    <definedName name="mfnav2">[2]Summary!$D$12</definedName>
    <definedName name="mfnav3">[2]Summary!$D$14</definedName>
    <definedName name="mfnav4">[2]Summary!$D$16</definedName>
    <definedName name="mfnav5">[2]Summary!$D$18</definedName>
    <definedName name="mfnav6">[2]Summary!$D$20</definedName>
    <definedName name="mfnav7">[2]Summary!$D$22</definedName>
    <definedName name="mfnav8">[2]Summary!$D$24</definedName>
    <definedName name="mfnav9">[2]Summary!$D$26</definedName>
    <definedName name="mfudn5">[2]Instructions!$E$20</definedName>
    <definedName name="mfund1">[2]Instructions!$E$12</definedName>
    <definedName name="mfund10">[2]Instructions!$E$30</definedName>
    <definedName name="mfund2">[2]Instructions!$E$14</definedName>
    <definedName name="mfund3">[2]Instructions!$E$16</definedName>
    <definedName name="mfund4">[2]Instructions!$E$18</definedName>
    <definedName name="mfund6">[2]Instructions!$E$22</definedName>
    <definedName name="mfund7">[2]Instructions!$E$24</definedName>
    <definedName name="mfund8">[2]Instructions!$E$26</definedName>
    <definedName name="mfund9">[2]Instructions!$E$28</definedName>
    <definedName name="name_V">OFFSET([1]Inputs!V1048575,,,COUNTIF([1]Inputs!$Z$1:$Z$6000,"?*"),)</definedName>
    <definedName name="name_VM">OFFSET([6]Inputs!V1048575,,,COUNTIF([6]Inputs!$Z$1:$Z$6000,"?*"),)</definedName>
    <definedName name="nav">[1]Analysis!$AD$2</definedName>
    <definedName name="navcg">'[1]Capital Gains'!$F$9</definedName>
    <definedName name="navm">#REF!</definedName>
    <definedName name="prepen1" localSheetId="8">#REF!</definedName>
    <definedName name="prepen1">'[4]Investment reqd. for retirement'!$B$22</definedName>
    <definedName name="ratecurr1" localSheetId="8">#REF!</definedName>
    <definedName name="ratecurr1" localSheetId="1">'Other goals'!#REF!</definedName>
    <definedName name="ratecurr1">#REF!</definedName>
    <definedName name="retg1" localSheetId="8">#REF!</definedName>
    <definedName name="retg1" localSheetId="1">'Other goals'!#REF!</definedName>
    <definedName name="retg1">#REF!</definedName>
    <definedName name="sipdet" localSheetId="8">'[3]Investment reqd. for retirement'!$K$2</definedName>
    <definedName name="sipdet">'[4]Investment reqd. for retirement'!$K$2</definedName>
    <definedName name="sipefz" localSheetId="8">'[3]Investment reqd. for retirement'!$K$3</definedName>
    <definedName name="sipefz">'[4]Investment reqd. for retirement'!$K$3</definedName>
    <definedName name="sipeq" localSheetId="8">'[3]Investment reqd. for retirement'!$K$1</definedName>
    <definedName name="sipeq">'[4]Investment reqd. for retirement'!$K$1</definedName>
    <definedName name="sipunits">[1]Fund!$E$17</definedName>
    <definedName name="slab" localSheetId="8">'[3]Investment reqd. for retirement'!$B$11</definedName>
    <definedName name="slab">'[4]Investment reqd. for retirement'!$B$11</definedName>
    <definedName name="sum">[1]Analysis!$Q$1</definedName>
    <definedName name="units">'[1]Capital Gains'!$N$1</definedName>
    <definedName name="xirrm">#REF!</definedName>
    <definedName name="ygoal1" localSheetId="8">'[5]Other goals'!$B$2</definedName>
    <definedName name="ygoal1">'Other goals'!$B$2</definedName>
    <definedName name="ygoal2" localSheetId="8">'[5]Other goals'!$D$2</definedName>
    <definedName name="ygoal2">'Other goals'!$D$2</definedName>
    <definedName name="ygoal3" localSheetId="8">'[5]Other goals'!$F$2</definedName>
    <definedName name="ygoal3">'Other goals'!$F$2</definedName>
    <definedName name="ygoal4" localSheetId="8">'[5]Other goals'!$H$2</definedName>
    <definedName name="ygoal4">'Other goals'!$H$2</definedName>
    <definedName name="ygoal5" localSheetId="8">'[5]Other goals'!$J$2</definedName>
    <definedName name="ygoal5">'Other goals'!$J$2</definedName>
  </definedNames>
  <calcPr calcId="125725"/>
</workbook>
</file>

<file path=xl/calcChain.xml><?xml version="1.0" encoding="utf-8"?>
<calcChain xmlns="http://schemas.openxmlformats.org/spreadsheetml/2006/main">
  <c r="D54" i="13"/>
  <c r="C54"/>
  <c r="A54"/>
  <c r="D53"/>
  <c r="C53"/>
  <c r="A53"/>
  <c r="D52"/>
  <c r="C52"/>
  <c r="A52"/>
  <c r="D51"/>
  <c r="C51"/>
  <c r="A51"/>
  <c r="D50"/>
  <c r="C50"/>
  <c r="A50"/>
  <c r="D49"/>
  <c r="C49"/>
  <c r="A49"/>
  <c r="D48"/>
  <c r="C48"/>
  <c r="A48"/>
  <c r="D47"/>
  <c r="C47"/>
  <c r="A47"/>
  <c r="D46"/>
  <c r="C46"/>
  <c r="A46"/>
  <c r="D45"/>
  <c r="C45"/>
  <c r="A45"/>
  <c r="D44"/>
  <c r="C44"/>
  <c r="A44"/>
  <c r="D43"/>
  <c r="C43"/>
  <c r="A43"/>
  <c r="D42"/>
  <c r="C42"/>
  <c r="A42"/>
  <c r="D41"/>
  <c r="C41"/>
  <c r="A41"/>
  <c r="D40"/>
  <c r="C40"/>
  <c r="A40"/>
  <c r="D39"/>
  <c r="C39"/>
  <c r="A39"/>
  <c r="D38"/>
  <c r="C38"/>
  <c r="A38"/>
  <c r="D37"/>
  <c r="C37"/>
  <c r="A37"/>
  <c r="D36"/>
  <c r="C36"/>
  <c r="A36"/>
  <c r="D35"/>
  <c r="C35"/>
  <c r="A35"/>
  <c r="D34"/>
  <c r="C34"/>
  <c r="A34"/>
  <c r="D33"/>
  <c r="C33"/>
  <c r="A33"/>
  <c r="D32"/>
  <c r="C32"/>
  <c r="A32"/>
  <c r="D31"/>
  <c r="C31"/>
  <c r="A31"/>
  <c r="D30"/>
  <c r="C30"/>
  <c r="A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5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B5"/>
  <c r="J15" i="6"/>
  <c r="H15"/>
  <c r="F15"/>
  <c r="D15"/>
  <c r="J8"/>
  <c r="J9" s="1"/>
  <c r="H8"/>
  <c r="H9" s="1"/>
  <c r="F8"/>
  <c r="F9" s="1"/>
  <c r="D8"/>
  <c r="D9" s="1"/>
  <c r="B15"/>
  <c r="B9"/>
  <c r="B8"/>
  <c r="C24" i="1"/>
  <c r="B6" i="12"/>
  <c r="B11"/>
  <c r="B9"/>
  <c r="A12"/>
  <c r="B24" i="9"/>
  <c r="A6"/>
  <c r="A5"/>
  <c r="A4"/>
  <c r="A3"/>
  <c r="N3" i="8" l="1"/>
  <c r="O3"/>
  <c r="P3"/>
  <c r="Q3"/>
  <c r="R3"/>
  <c r="S3" l="1"/>
  <c r="AJ2" i="6" l="1"/>
  <c r="AH2"/>
  <c r="AF2"/>
  <c r="AD2"/>
  <c r="AB2"/>
  <c r="B4" i="1"/>
  <c r="B35"/>
  <c r="B37" s="1"/>
  <c r="B9"/>
  <c r="B11"/>
  <c r="A3" i="11" s="1"/>
  <c r="A4" l="1"/>
  <c r="C22" i="1"/>
  <c r="C25"/>
  <c r="C21"/>
  <c r="C23"/>
  <c r="L3" i="8"/>
  <c r="M4" s="1"/>
  <c r="B10" i="1"/>
  <c r="C2" i="11" s="1"/>
  <c r="C3" s="1"/>
  <c r="AB3" i="6"/>
  <c r="AB4" s="1"/>
  <c r="B15" i="1"/>
  <c r="B13" i="6"/>
  <c r="F13"/>
  <c r="J13"/>
  <c r="D13"/>
  <c r="D17" s="1"/>
  <c r="H13"/>
  <c r="C4" i="11" l="1"/>
  <c r="C5" s="1"/>
  <c r="A5"/>
  <c r="B2"/>
  <c r="D2" s="1"/>
  <c r="B3" s="1"/>
  <c r="D3" s="1"/>
  <c r="B4" s="1"/>
  <c r="D4" s="1"/>
  <c r="B5" s="1"/>
  <c r="B28" i="1"/>
  <c r="M5" i="8"/>
  <c r="R4"/>
  <c r="P4"/>
  <c r="N4"/>
  <c r="Q4"/>
  <c r="O4"/>
  <c r="A18" i="6"/>
  <c r="B38" i="1"/>
  <c r="L2" i="8"/>
  <c r="F17" i="6"/>
  <c r="B5" i="9" s="1"/>
  <c r="H17" i="6"/>
  <c r="B6" i="9" s="1"/>
  <c r="B4"/>
  <c r="J17" i="6"/>
  <c r="B7" i="9" s="1"/>
  <c r="B17" i="6"/>
  <c r="S4" i="8" l="1"/>
  <c r="M6"/>
  <c r="N5"/>
  <c r="R5"/>
  <c r="Q5"/>
  <c r="P5"/>
  <c r="Q6" s="1"/>
  <c r="O5"/>
  <c r="C6" i="11"/>
  <c r="A6"/>
  <c r="D5"/>
  <c r="B42" i="1"/>
  <c r="B2" i="9"/>
  <c r="B3"/>
  <c r="B8"/>
  <c r="B23" s="1"/>
  <c r="B25" s="1"/>
  <c r="B41" i="1"/>
  <c r="L12" i="8"/>
  <c r="B40" i="1"/>
  <c r="S5" i="8" l="1"/>
  <c r="A7" i="11"/>
  <c r="A8" s="1"/>
  <c r="A9" s="1"/>
  <c r="A10" s="1"/>
  <c r="M7" i="8"/>
  <c r="P6"/>
  <c r="Q7" s="1"/>
  <c r="N6"/>
  <c r="S6" s="1"/>
  <c r="R6"/>
  <c r="B6" i="11"/>
  <c r="D6" s="1"/>
  <c r="B7" s="1"/>
  <c r="O6" i="8"/>
  <c r="M8" l="1"/>
  <c r="O7"/>
  <c r="N7"/>
  <c r="S7" s="1"/>
  <c r="R7"/>
  <c r="P7"/>
  <c r="A11" i="11"/>
  <c r="C7"/>
  <c r="C8" s="1"/>
  <c r="C9" s="1"/>
  <c r="C10" s="1"/>
  <c r="C11" s="1"/>
  <c r="M9" i="8" l="1"/>
  <c r="P8"/>
  <c r="Q8"/>
  <c r="N8"/>
  <c r="O8"/>
  <c r="R8"/>
  <c r="A12" i="11"/>
  <c r="D7"/>
  <c r="B8" s="1"/>
  <c r="D8" s="1"/>
  <c r="B9" s="1"/>
  <c r="D9" s="1"/>
  <c r="B10" s="1"/>
  <c r="D10" s="1"/>
  <c r="B11" s="1"/>
  <c r="D11" s="1"/>
  <c r="C12"/>
  <c r="S8" i="8" l="1"/>
  <c r="M10"/>
  <c r="P9"/>
  <c r="Q9"/>
  <c r="R9"/>
  <c r="N9"/>
  <c r="O9"/>
  <c r="C13" i="11"/>
  <c r="A13"/>
  <c r="B12"/>
  <c r="D12" s="1"/>
  <c r="S9" i="8" l="1"/>
  <c r="M11"/>
  <c r="O10"/>
  <c r="R10"/>
  <c r="P10"/>
  <c r="N10"/>
  <c r="Q10"/>
  <c r="A14" i="11"/>
  <c r="B13"/>
  <c r="D13" s="1"/>
  <c r="C14"/>
  <c r="S10" i="8" l="1"/>
  <c r="M12"/>
  <c r="R11"/>
  <c r="N11"/>
  <c r="Q11"/>
  <c r="P11"/>
  <c r="O11"/>
  <c r="A15" i="11"/>
  <c r="B14"/>
  <c r="D14" s="1"/>
  <c r="C15"/>
  <c r="S11" i="8" l="1"/>
  <c r="M13"/>
  <c r="R12"/>
  <c r="N12"/>
  <c r="O12"/>
  <c r="P12"/>
  <c r="Q12"/>
  <c r="A16" i="11"/>
  <c r="B15"/>
  <c r="D15" s="1"/>
  <c r="C16"/>
  <c r="S12" i="8" l="1"/>
  <c r="M14"/>
  <c r="N13"/>
  <c r="Q13"/>
  <c r="R13"/>
  <c r="P13"/>
  <c r="O13"/>
  <c r="A17" i="11"/>
  <c r="C17" s="1"/>
  <c r="B16"/>
  <c r="D16" s="1"/>
  <c r="S13" i="8" l="1"/>
  <c r="M15"/>
  <c r="Q14"/>
  <c r="N14"/>
  <c r="O14"/>
  <c r="P14"/>
  <c r="R14"/>
  <c r="A18" i="11"/>
  <c r="B17"/>
  <c r="D17" s="1"/>
  <c r="S14" i="8" l="1"/>
  <c r="A19" i="11"/>
  <c r="B18"/>
  <c r="M16" i="8"/>
  <c r="N15"/>
  <c r="Q15"/>
  <c r="P15"/>
  <c r="O15"/>
  <c r="R15"/>
  <c r="C18" i="11"/>
  <c r="S15" i="8" l="1"/>
  <c r="A20" i="11"/>
  <c r="M17" i="8"/>
  <c r="O16"/>
  <c r="P16"/>
  <c r="Q16"/>
  <c r="N16"/>
  <c r="R16"/>
  <c r="D18" i="11"/>
  <c r="B19" s="1"/>
  <c r="D19" s="1"/>
  <c r="C19"/>
  <c r="S16" i="8" l="1"/>
  <c r="A21" i="11"/>
  <c r="B20"/>
  <c r="M18" i="8"/>
  <c r="Q17"/>
  <c r="P17"/>
  <c r="O17"/>
  <c r="R17"/>
  <c r="N17"/>
  <c r="C20" i="11"/>
  <c r="S17" i="8" l="1"/>
  <c r="A22" i="11"/>
  <c r="M19" i="8"/>
  <c r="N18"/>
  <c r="O18"/>
  <c r="P18"/>
  <c r="Q18"/>
  <c r="R18"/>
  <c r="C21" i="11"/>
  <c r="D20"/>
  <c r="B21" s="1"/>
  <c r="D21" s="1"/>
  <c r="S18" i="8" l="1"/>
  <c r="C22" i="11"/>
  <c r="D22"/>
  <c r="A23"/>
  <c r="B22"/>
  <c r="M20" i="8"/>
  <c r="N19"/>
  <c r="Q19"/>
  <c r="P19"/>
  <c r="O19"/>
  <c r="R19"/>
  <c r="S19" l="1"/>
  <c r="M21"/>
  <c r="P20"/>
  <c r="R20"/>
  <c r="N20"/>
  <c r="O20"/>
  <c r="Q20"/>
  <c r="A24" i="11"/>
  <c r="B23"/>
  <c r="C23"/>
  <c r="D23"/>
  <c r="S20" i="8" l="1"/>
  <c r="M22"/>
  <c r="Q21"/>
  <c r="P21"/>
  <c r="R21"/>
  <c r="N21"/>
  <c r="O21"/>
  <c r="B24" i="11"/>
  <c r="C24"/>
  <c r="D24"/>
  <c r="A25"/>
  <c r="S21" i="8" l="1"/>
  <c r="M23"/>
  <c r="Q22"/>
  <c r="N22"/>
  <c r="O22"/>
  <c r="P22"/>
  <c r="R22"/>
  <c r="A26" i="11"/>
  <c r="B25"/>
  <c r="C25"/>
  <c r="D25"/>
  <c r="S22" i="8" l="1"/>
  <c r="A27" i="11"/>
  <c r="B26"/>
  <c r="C26"/>
  <c r="D26"/>
  <c r="M24" i="8"/>
  <c r="R23"/>
  <c r="P23"/>
  <c r="N23"/>
  <c r="O23"/>
  <c r="Q23"/>
  <c r="S23" l="1"/>
  <c r="M25"/>
  <c r="Q24"/>
  <c r="O24"/>
  <c r="P24"/>
  <c r="N24"/>
  <c r="R24"/>
  <c r="A28" i="11"/>
  <c r="B27"/>
  <c r="C27"/>
  <c r="D27"/>
  <c r="S24" i="8" l="1"/>
  <c r="M26"/>
  <c r="N25"/>
  <c r="P25"/>
  <c r="O25"/>
  <c r="R25"/>
  <c r="Q25"/>
  <c r="A29" i="11"/>
  <c r="B28"/>
  <c r="C28"/>
  <c r="D28"/>
  <c r="S25" i="8" l="1"/>
  <c r="M27"/>
  <c r="O26"/>
  <c r="P26"/>
  <c r="Q26"/>
  <c r="R26"/>
  <c r="N26"/>
  <c r="A30" i="11"/>
  <c r="B29"/>
  <c r="C29"/>
  <c r="D29"/>
  <c r="S26" i="8" l="1"/>
  <c r="M28"/>
  <c r="N27"/>
  <c r="P27"/>
  <c r="O27"/>
  <c r="R27"/>
  <c r="Q27"/>
  <c r="A31" i="11"/>
  <c r="B30"/>
  <c r="C30"/>
  <c r="D30"/>
  <c r="S27" i="8" l="1"/>
  <c r="M29"/>
  <c r="R28"/>
  <c r="N28"/>
  <c r="P28"/>
  <c r="Q28"/>
  <c r="S28"/>
  <c r="O28"/>
  <c r="A32" i="11"/>
  <c r="B31"/>
  <c r="C31"/>
  <c r="D31"/>
  <c r="M30" i="8" l="1"/>
  <c r="N29"/>
  <c r="O29"/>
  <c r="P29"/>
  <c r="S29"/>
  <c r="R29"/>
  <c r="Q29"/>
  <c r="A33" i="11"/>
  <c r="B32"/>
  <c r="C32"/>
  <c r="D32"/>
  <c r="M31" i="8" l="1"/>
  <c r="P30"/>
  <c r="R30"/>
  <c r="O30"/>
  <c r="N30"/>
  <c r="Q30"/>
  <c r="S30"/>
  <c r="B33" i="11"/>
  <c r="C33"/>
  <c r="D33"/>
  <c r="A34"/>
  <c r="B34" l="1"/>
  <c r="C34"/>
  <c r="D34"/>
  <c r="A35"/>
  <c r="M32" i="8"/>
  <c r="O31"/>
  <c r="Q31"/>
  <c r="N31"/>
  <c r="P31"/>
  <c r="S31"/>
  <c r="R31"/>
  <c r="M33" l="1"/>
  <c r="P32"/>
  <c r="R32"/>
  <c r="O32"/>
  <c r="N32"/>
  <c r="Q32"/>
  <c r="S32"/>
  <c r="B35" i="11"/>
  <c r="C35"/>
  <c r="D35"/>
  <c r="A36"/>
  <c r="B36" l="1"/>
  <c r="C36"/>
  <c r="D36"/>
  <c r="A37"/>
  <c r="M34" i="8"/>
  <c r="O33"/>
  <c r="R33"/>
  <c r="N33"/>
  <c r="Q33"/>
  <c r="S33"/>
  <c r="P33"/>
  <c r="M35" l="1"/>
  <c r="P34"/>
  <c r="S34"/>
  <c r="O34"/>
  <c r="N34"/>
  <c r="Q34"/>
  <c r="R34"/>
  <c r="B37" i="11"/>
  <c r="C37"/>
  <c r="D37"/>
  <c r="M36" i="8" l="1"/>
  <c r="O35"/>
  <c r="Q35"/>
  <c r="N35"/>
  <c r="P35"/>
  <c r="S35"/>
  <c r="R35"/>
  <c r="M37" l="1"/>
  <c r="P36"/>
  <c r="R36"/>
  <c r="O36"/>
  <c r="N36"/>
  <c r="Q36"/>
  <c r="S36"/>
  <c r="M38" l="1"/>
  <c r="O37"/>
  <c r="R37"/>
  <c r="N37"/>
  <c r="P37"/>
  <c r="S37"/>
  <c r="Q37"/>
  <c r="M39" l="1"/>
  <c r="P38"/>
  <c r="R38"/>
  <c r="O38"/>
  <c r="N38"/>
  <c r="Q38"/>
  <c r="S38"/>
  <c r="M40" l="1"/>
  <c r="O39"/>
  <c r="R39"/>
  <c r="N39"/>
  <c r="P39"/>
  <c r="S39"/>
  <c r="Q39"/>
  <c r="M41" l="1"/>
  <c r="P40"/>
  <c r="R40"/>
  <c r="O40"/>
  <c r="N40"/>
  <c r="Q40"/>
  <c r="S40"/>
  <c r="M42" l="1"/>
  <c r="S41"/>
  <c r="O41"/>
  <c r="N41"/>
  <c r="Q41"/>
  <c r="P41"/>
  <c r="R41"/>
  <c r="M43" l="1"/>
  <c r="R42"/>
  <c r="O42"/>
  <c r="N42"/>
  <c r="Q42"/>
  <c r="P42"/>
  <c r="S42"/>
  <c r="M44" l="1"/>
  <c r="Q43"/>
  <c r="O43"/>
  <c r="S43"/>
  <c r="R43"/>
  <c r="N43"/>
  <c r="P43"/>
  <c r="M45" l="1"/>
  <c r="O44"/>
  <c r="N44"/>
  <c r="Q44"/>
  <c r="P44"/>
  <c r="S44"/>
  <c r="R44"/>
  <c r="M46" l="1"/>
  <c r="S45"/>
  <c r="P45"/>
  <c r="O45"/>
  <c r="R45"/>
  <c r="N45"/>
  <c r="Q45"/>
  <c r="M47" l="1"/>
  <c r="P46"/>
  <c r="S46"/>
  <c r="O46"/>
  <c r="N46"/>
  <c r="Q46"/>
  <c r="R46"/>
  <c r="M48" l="1"/>
  <c r="O47"/>
  <c r="R47"/>
  <c r="N47"/>
  <c r="P47"/>
  <c r="S47"/>
  <c r="Q47"/>
  <c r="M49" l="1"/>
  <c r="P48"/>
  <c r="R48"/>
  <c r="O48"/>
  <c r="N48"/>
  <c r="Q48"/>
  <c r="S48"/>
  <c r="M50" l="1"/>
  <c r="S49"/>
  <c r="R49"/>
  <c r="O49"/>
  <c r="Q49"/>
  <c r="N49"/>
  <c r="P49"/>
  <c r="M51" l="1"/>
  <c r="Q50"/>
  <c r="P50"/>
  <c r="S50"/>
  <c r="R50"/>
  <c r="O50"/>
  <c r="N50"/>
  <c r="M52" l="1"/>
  <c r="S51"/>
  <c r="O51"/>
  <c r="R51"/>
  <c r="Q51"/>
  <c r="N51"/>
  <c r="P51"/>
  <c r="M53" l="1"/>
  <c r="P52"/>
  <c r="O52"/>
  <c r="N52"/>
  <c r="Q52"/>
  <c r="S52"/>
  <c r="R52"/>
  <c r="M54" l="1"/>
  <c r="S53"/>
  <c r="O53"/>
  <c r="R53"/>
  <c r="Q53"/>
  <c r="N53"/>
  <c r="P53"/>
  <c r="M55" l="1"/>
  <c r="Q54"/>
  <c r="P54"/>
  <c r="S54"/>
  <c r="R54"/>
  <c r="O54"/>
  <c r="N54"/>
  <c r="M56" l="1"/>
  <c r="S55"/>
  <c r="O55"/>
  <c r="R55"/>
  <c r="Q55"/>
  <c r="P55"/>
  <c r="N55"/>
  <c r="M57" l="1"/>
  <c r="P56"/>
  <c r="S56"/>
  <c r="R56"/>
  <c r="O56"/>
  <c r="N56"/>
  <c r="Q56"/>
  <c r="M58" l="1"/>
  <c r="O57"/>
  <c r="R57"/>
  <c r="Q57"/>
  <c r="N57"/>
  <c r="P57"/>
  <c r="S57"/>
  <c r="M59" l="1"/>
  <c r="P58"/>
  <c r="S58"/>
  <c r="R58"/>
  <c r="O58"/>
  <c r="N58"/>
  <c r="Q58"/>
  <c r="M60" l="1"/>
  <c r="O59"/>
  <c r="R59"/>
  <c r="N59"/>
  <c r="P59"/>
  <c r="S59"/>
  <c r="Q59"/>
  <c r="M61" l="1"/>
  <c r="P60"/>
  <c r="S60"/>
  <c r="O60"/>
  <c r="N60"/>
  <c r="Q60"/>
  <c r="R60"/>
  <c r="M62" l="1"/>
  <c r="O61"/>
  <c r="R61"/>
  <c r="Q61"/>
  <c r="N61"/>
  <c r="P61"/>
  <c r="S61"/>
  <c r="M63" l="1"/>
  <c r="P62"/>
  <c r="S62"/>
  <c r="O62"/>
  <c r="N62"/>
  <c r="Q62"/>
  <c r="R62"/>
  <c r="M64" l="1"/>
  <c r="O63"/>
  <c r="R63"/>
  <c r="N63"/>
  <c r="Q63"/>
  <c r="S63"/>
  <c r="P63"/>
  <c r="M65" l="1"/>
  <c r="P64"/>
  <c r="S64"/>
  <c r="R64"/>
  <c r="O64"/>
  <c r="N64"/>
  <c r="Q64"/>
  <c r="M66" l="1"/>
  <c r="R65"/>
  <c r="Q65"/>
  <c r="N65"/>
  <c r="P65"/>
  <c r="S65"/>
  <c r="O65"/>
  <c r="M67" l="1"/>
  <c r="P66"/>
  <c r="S66"/>
  <c r="R66"/>
  <c r="O66"/>
  <c r="N66"/>
  <c r="Q66"/>
  <c r="M68" l="1"/>
  <c r="S67"/>
  <c r="O67"/>
  <c r="N67"/>
  <c r="R67"/>
  <c r="P67"/>
  <c r="Q67"/>
  <c r="M69" l="1"/>
  <c r="Q68"/>
  <c r="P68"/>
  <c r="N68"/>
  <c r="S68"/>
  <c r="R68"/>
  <c r="O68"/>
  <c r="M70" l="1"/>
  <c r="S69"/>
  <c r="O69"/>
  <c r="R69"/>
  <c r="Q69"/>
  <c r="N69"/>
  <c r="P69"/>
  <c r="M71" l="1"/>
  <c r="Q70"/>
  <c r="P70"/>
  <c r="S70"/>
  <c r="R70"/>
  <c r="O70"/>
  <c r="N70"/>
  <c r="M72" l="1"/>
  <c r="S71"/>
  <c r="O71"/>
  <c r="R71"/>
  <c r="P71"/>
  <c r="N71"/>
  <c r="Q71"/>
  <c r="M73" l="1"/>
  <c r="Q72"/>
  <c r="P72"/>
  <c r="S72"/>
  <c r="R72"/>
  <c r="O72"/>
  <c r="N72"/>
  <c r="M74" l="1"/>
  <c r="S73"/>
  <c r="O73"/>
  <c r="R73"/>
  <c r="Q73"/>
  <c r="N73"/>
  <c r="P73"/>
  <c r="M75" l="1"/>
  <c r="Q74"/>
  <c r="P74"/>
  <c r="S74"/>
  <c r="R74"/>
  <c r="O74"/>
  <c r="N74"/>
  <c r="M76" l="1"/>
  <c r="S75"/>
  <c r="O75"/>
  <c r="R75"/>
  <c r="Q75"/>
  <c r="N75"/>
  <c r="P75"/>
  <c r="M77" l="1"/>
  <c r="Q76"/>
  <c r="P76"/>
  <c r="S76"/>
  <c r="R76"/>
  <c r="O76"/>
  <c r="N76"/>
  <c r="M78" l="1"/>
  <c r="Q77"/>
  <c r="P77"/>
  <c r="O77"/>
  <c r="S77"/>
  <c r="N77"/>
  <c r="R77"/>
  <c r="M79" l="1"/>
  <c r="Q78"/>
  <c r="P78"/>
  <c r="S78"/>
  <c r="R78"/>
  <c r="O78"/>
  <c r="N78"/>
  <c r="M80" l="1"/>
  <c r="O79"/>
  <c r="P79"/>
  <c r="S79"/>
  <c r="Q79"/>
  <c r="N79"/>
  <c r="R79"/>
  <c r="M81" l="1"/>
  <c r="Q80"/>
  <c r="P80"/>
  <c r="S80"/>
  <c r="R80"/>
  <c r="O80"/>
  <c r="N80"/>
  <c r="M82" l="1"/>
  <c r="S81"/>
  <c r="O81"/>
  <c r="R81"/>
  <c r="N81"/>
  <c r="P81"/>
  <c r="Q81"/>
  <c r="M83" l="1"/>
  <c r="P82"/>
  <c r="S82"/>
  <c r="O82"/>
  <c r="N82"/>
  <c r="Q82"/>
  <c r="R82"/>
  <c r="M84" l="1"/>
  <c r="O83"/>
  <c r="R83"/>
  <c r="N83"/>
  <c r="P83"/>
  <c r="S83"/>
  <c r="Q83"/>
  <c r="M85" l="1"/>
  <c r="P84"/>
  <c r="S84"/>
  <c r="R84"/>
  <c r="O84"/>
  <c r="N84"/>
  <c r="Q84"/>
  <c r="M86" l="1"/>
  <c r="Q85"/>
  <c r="P85"/>
  <c r="S85"/>
  <c r="N85"/>
  <c r="O85"/>
  <c r="R85"/>
  <c r="M87" l="1"/>
  <c r="P86"/>
  <c r="S86"/>
  <c r="R86"/>
  <c r="O86"/>
  <c r="N86"/>
  <c r="Q86"/>
  <c r="M88" l="1"/>
  <c r="O87"/>
  <c r="R87"/>
  <c r="Q87"/>
  <c r="N87"/>
  <c r="P87"/>
  <c r="S87"/>
  <c r="M89" l="1"/>
  <c r="P88"/>
  <c r="S88"/>
  <c r="O88"/>
  <c r="N88"/>
  <c r="Q88"/>
  <c r="R88"/>
  <c r="M90" l="1"/>
  <c r="P89"/>
  <c r="S89"/>
  <c r="N89"/>
  <c r="R89"/>
  <c r="Q89"/>
  <c r="O89"/>
  <c r="M91" l="1"/>
  <c r="P90"/>
  <c r="S90"/>
  <c r="R90"/>
  <c r="O90"/>
  <c r="N90"/>
  <c r="Q90"/>
  <c r="M92" l="1"/>
  <c r="N91"/>
  <c r="Q91"/>
  <c r="S91"/>
  <c r="P91"/>
  <c r="O91"/>
  <c r="R91"/>
  <c r="M93" l="1"/>
  <c r="P92"/>
  <c r="S92"/>
  <c r="N92"/>
  <c r="O92"/>
  <c r="R92"/>
  <c r="Q92"/>
  <c r="M94" l="1"/>
  <c r="O93"/>
  <c r="R93"/>
  <c r="P93"/>
  <c r="N93"/>
  <c r="Q93"/>
  <c r="S93"/>
  <c r="M95" l="1"/>
  <c r="P94"/>
  <c r="S94"/>
  <c r="N94"/>
  <c r="O94"/>
  <c r="Q94"/>
  <c r="R94"/>
  <c r="M96" l="1"/>
  <c r="O95"/>
  <c r="R95"/>
  <c r="N95"/>
  <c r="P95"/>
  <c r="S95"/>
  <c r="Q95"/>
  <c r="M97" l="1"/>
  <c r="P96"/>
  <c r="S96"/>
  <c r="R96"/>
  <c r="O96"/>
  <c r="N96"/>
  <c r="Q96"/>
  <c r="M98" l="1"/>
  <c r="O97"/>
  <c r="R97"/>
  <c r="Q97"/>
  <c r="N97"/>
  <c r="P97"/>
  <c r="S97"/>
  <c r="M99" l="1"/>
  <c r="R98"/>
  <c r="N98"/>
  <c r="P98"/>
  <c r="Q98"/>
  <c r="S98"/>
  <c r="O98"/>
  <c r="M100" l="1"/>
  <c r="O99"/>
  <c r="S99"/>
  <c r="R99"/>
  <c r="N99"/>
  <c r="Q99"/>
  <c r="P99"/>
  <c r="N100" l="1"/>
  <c r="Q100"/>
  <c r="P100"/>
  <c r="R100"/>
  <c r="S100"/>
  <c r="O100"/>
</calcChain>
</file>

<file path=xl/sharedStrings.xml><?xml version="1.0" encoding="utf-8"?>
<sst xmlns="http://schemas.openxmlformats.org/spreadsheetml/2006/main" count="160" uniqueCount="118">
  <si>
    <t>Net Corpus to be accumulated (notice reduction)</t>
  </si>
  <si>
    <t>Expected rate of return for EPF or NPS %</t>
  </si>
  <si>
    <t>Annual increase in this contribution (be realistic) %</t>
  </si>
  <si>
    <t>Current monthly mandatory EPF contribution</t>
  </si>
  <si>
    <t>Lump sum benefits expected at retirement</t>
  </si>
  <si>
    <t>Value of current taxable debt investments (FD, debt fund etc.)</t>
  </si>
  <si>
    <t>Value of current equity invesments</t>
  </si>
  <si>
    <t>Present Value of investments</t>
  </si>
  <si>
    <t>Post-tax return expected from  equity investments %</t>
  </si>
  <si>
    <t>The low-stress Retirement Calculator by freefincal.com</t>
  </si>
  <si>
    <t>Total Corpus required</t>
  </si>
  <si>
    <t>Inflation during retirement (%)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</si>
  <si>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</si>
  <si>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</si>
  <si>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</si>
  <si>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No of years you expect to live!</t>
  </si>
  <si>
    <t>Age you wish to retire</t>
  </si>
  <si>
    <t>Current age</t>
  </si>
  <si>
    <t>Inflation before retirement (%)</t>
  </si>
  <si>
    <t>Total average monthly expenses (annual/12)</t>
  </si>
  <si>
    <t>Tax-free Debt</t>
  </si>
  <si>
    <t>Taxable Debt</t>
  </si>
  <si>
    <t>Equity</t>
  </si>
  <si>
    <t>Initial Monthly investment in</t>
  </si>
  <si>
    <t>Monthly investment required</t>
  </si>
  <si>
    <t>Net rate of return (this is an approximation) %</t>
  </si>
  <si>
    <t>Annual increase in total monthly investment %</t>
  </si>
  <si>
    <t>3) allocate to tax-free debt instruments %</t>
  </si>
  <si>
    <t>2) allocate to taxable debt instruments %</t>
  </si>
  <si>
    <t xml:space="preserve">1) allocate to equity % </t>
  </si>
  <si>
    <t>What percentage of this monthly investment would you:</t>
  </si>
  <si>
    <t>You need to invest some amt each month to attain this corpus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</si>
  <si>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iexplore.exe"},{"Name":"chrome.exe"}],"ConversionPath":"C:\\Users\\user\\Desktop\\freefincal"},"AdvancedSettingsModels":[],"Dropbox":{"AccessToken":"","AccessSecret":""},"SpreadsheetServer":{"Username":"","Password":"","ServerUrl":""},"ConfigureSubmitDefault":{"Email":""},"MessageBubble":{"Close":false,"TopMsg":0}}</t>
  </si>
  <si>
    <t>{"ButtonStyle":0,"Name":"","HideSscPoweredlogo":false,"LiveShare":{"Enable":true},"CopyProtect":{"IsEnabled":false,"DomainName":""},"Theme":{"BgColor":"#FFFFFFFF","BgImage":"","InputBorderStyle":2},"Layout":4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3,"Edition":0,"IgnoreBgInputCell":false}</t>
  </si>
  <si>
    <t>Current monthly expenses that will persist in retirement</t>
  </si>
  <si>
    <t>Annual expenses that will persist in retirement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</si>
  <si>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from retirement corpus (%)</t>
    </r>
  </si>
  <si>
    <t>For now set it to a low number</t>
  </si>
  <si>
    <r>
      <t xml:space="preserve">Post-tax return </t>
    </r>
    <r>
      <rPr>
        <sz val="11"/>
        <color indexed="8"/>
        <rFont val="Calibri"/>
        <family val="2"/>
      </rPr>
      <t>(used for current and future investments)</t>
    </r>
  </si>
  <si>
    <t>Post-rax return expected from current taxable debt %</t>
  </si>
  <si>
    <t>Rate of return expected from current tax-free debt %</t>
  </si>
  <si>
    <t>Value of current tax-free debt investments (EPF+PPF+LIC)</t>
  </si>
  <si>
    <t>Enter name of the goal for your reference</t>
  </si>
  <si>
    <t>Years to goal (has to be before retirement)*</t>
  </si>
  <si>
    <t>Present cost</t>
  </si>
  <si>
    <t>inflation</t>
  </si>
  <si>
    <t>Future Cost</t>
  </si>
  <si>
    <t>Sons education</t>
  </si>
  <si>
    <t>Goal 5</t>
  </si>
  <si>
    <t>Amt invested so far</t>
  </si>
  <si>
    <t>RoI of current invest.</t>
  </si>
  <si>
    <t>Future value of curr. Inv.</t>
  </si>
  <si>
    <t>Annual inc. in monthly invest. %</t>
  </si>
  <si>
    <t>initial mon. invest. reqd.</t>
  </si>
  <si>
    <t>Year</t>
  </si>
  <si>
    <t>Withdrawal</t>
  </si>
  <si>
    <t>Corpus</t>
  </si>
  <si>
    <t>equity investing stops</t>
  </si>
  <si>
    <t>investment</t>
  </si>
  <si>
    <t>max equity investing years</t>
  </si>
  <si>
    <t xml:space="preserve">* that is less than </t>
  </si>
  <si>
    <t xml:space="preserve"> years</t>
  </si>
  <si>
    <t>after</t>
  </si>
  <si>
    <t>Rate of return expected from portfolio</t>
  </si>
  <si>
    <t>Daughters education</t>
  </si>
  <si>
    <t>Daughters marriage</t>
  </si>
  <si>
    <t>Sons marriage</t>
  </si>
  <si>
    <t>{"IsHide":true,"SheetId":0,"Name":"Retirement","HiddenRow":0,"VisibleRange":"","SheetTheme":{"TabColor":"","BodyColor":"","BodyImage":""}}</t>
  </si>
  <si>
    <t>{"IsHide":true,"SheetId":0,"Name":"Other goals","HiddenRow":0,"VisibleRange":"","SheetTheme":{"TabColor":"","BodyColor":"","BodyImage":""}}</t>
  </si>
  <si>
    <t>Total investment reqd. for all goals</t>
  </si>
  <si>
    <t>Expected return for unified portfolio</t>
  </si>
  <si>
    <t>Add invest.</t>
  </si>
  <si>
    <t>Mon. invest.</t>
  </si>
  <si>
    <t>initial mon. invest. reqd. for goal 5</t>
  </si>
  <si>
    <t>{"IsHide":true,"SheetId":0,"Name":"cashflow","HiddenRow":0,"VisibleRange":"","SheetTheme":{"TabColor":"","BodyColor":"","BodyImage":""}}</t>
  </si>
  <si>
    <t>years</t>
  </si>
  <si>
    <t>Retirement</t>
  </si>
  <si>
    <t>initial monthly investment required for</t>
  </si>
  <si>
    <t>Extra amt you can invest per month</t>
  </si>
  <si>
    <t>Total initial monthly investment required for</t>
  </si>
  <si>
    <t>Multiple portfolios</t>
  </si>
  <si>
    <t>A reduction of</t>
  </si>
  <si>
    <t>{"IsHide":true,"SheetId":0,"Name":"summary","HiddenRow":0,"VisibleRange":"","SheetTheme":{"TabColor":"","BodyColor":"","BodyImage":""}}</t>
  </si>
  <si>
    <t>{"IsHide":true,"SheetId":0,"Name":"Graphs","HiddenRow":0,"VisibleRange":"","SheetTheme":{"TabColor":"","BodyColor":"","BodyImage":""}}</t>
  </si>
  <si>
    <t>year</t>
  </si>
  <si>
    <t>year start corpus value</t>
  </si>
  <si>
    <t>year end  corpus value</t>
  </si>
  <si>
    <t>{"IsHide":true,"SheetId":0,"Name":"retirement-cashflow","HiddenRow":0,"VisibleRange":"","SheetTheme":{"TabColor":"","BodyColor":"","BodyImage":""}}</t>
  </si>
  <si>
    <t>{"IsHide":true,"SheetId":0,"Name":"Sheet1","HiddenRow":0,"VisibleRange":"","SheetTheme":{"TabColor":"","BodyColor":"","BodyImage":""}}</t>
  </si>
  <si>
    <t>Unified portfolio for long-term goals</t>
  </si>
  <si>
    <t>Estimated Value at the time of retirement</t>
  </si>
  <si>
    <t>Post-tax return from equity instruments expected</t>
  </si>
  <si>
    <t>Post-tax return from debt instruments expected</t>
  </si>
  <si>
    <t>Equity allocation</t>
  </si>
  <si>
    <t>Debt allocation</t>
  </si>
  <si>
    <t>Net rate of return (post-tax)</t>
  </si>
  <si>
    <t>Amt invested so far in equity instruments</t>
  </si>
  <si>
    <t>Amt invested so far in debt instruments</t>
  </si>
  <si>
    <t>Use this sheet to track investments made for retirement</t>
  </si>
  <si>
    <t>Annual increase in investment</t>
  </si>
  <si>
    <t>Enter the total invement made each for this goal in the green cells</t>
  </si>
  <si>
    <t>S.no</t>
  </si>
  <si>
    <t>Investment</t>
  </si>
  <si>
    <t>Target</t>
  </si>
  <si>
    <t>Actual (average)</t>
  </si>
  <si>
    <t>Jan.</t>
  </si>
  <si>
    <t>Feb.</t>
  </si>
  <si>
    <t>Mar.</t>
  </si>
  <si>
    <t>Apr.</t>
  </si>
  <si>
    <t>May</t>
  </si>
  <si>
    <t>June</t>
  </si>
  <si>
    <t>July</t>
  </si>
  <si>
    <t>Aug</t>
  </si>
  <si>
    <t>Sep</t>
  </si>
  <si>
    <t>Oct</t>
  </si>
  <si>
    <t>Nov</t>
  </si>
  <si>
    <t>Dec.</t>
  </si>
  <si>
    <t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</si>
</sst>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0.000%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u/>
      <sz val="12"/>
      <color rgb="FF99000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ill="0" applyBorder="0" applyAlignment="0" applyProtection="0"/>
    <xf numFmtId="169" fontId="13" fillId="0" borderId="0" applyFill="0" applyBorder="0" applyAlignment="0" applyProtection="0"/>
    <xf numFmtId="170" fontId="13" fillId="0" borderId="0" applyFill="0" applyBorder="0" applyAlignment="0" applyProtection="0"/>
    <xf numFmtId="171" fontId="13" fillId="0" borderId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ill="0" applyBorder="0" applyAlignment="0" applyProtection="0"/>
  </cellStyleXfs>
  <cellXfs count="132">
    <xf numFmtId="0" fontId="0" fillId="0" borderId="0" xfId="0"/>
    <xf numFmtId="0" fontId="0" fillId="2" borderId="2" xfId="0" applyFill="1" applyBorder="1"/>
    <xf numFmtId="0" fontId="0" fillId="0" borderId="2" xfId="0" applyBorder="1"/>
    <xf numFmtId="0" fontId="3" fillId="2" borderId="2" xfId="0" applyFont="1" applyFill="1" applyBorder="1"/>
    <xf numFmtId="0" fontId="2" fillId="0" borderId="2" xfId="0" applyFont="1" applyBorder="1"/>
    <xf numFmtId="0" fontId="7" fillId="2" borderId="2" xfId="2" applyFont="1" applyFill="1" applyBorder="1" applyAlignment="1" applyProtection="1"/>
    <xf numFmtId="0" fontId="0" fillId="2" borderId="1" xfId="0" applyFill="1" applyBorder="1"/>
    <xf numFmtId="1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/>
    <xf numFmtId="0" fontId="0" fillId="4" borderId="8" xfId="0" applyFill="1" applyBorder="1"/>
    <xf numFmtId="3" fontId="1" fillId="4" borderId="9" xfId="1" applyNumberFormat="1" applyFont="1" applyFill="1" applyBorder="1" applyAlignment="1">
      <alignment horizontal="center"/>
    </xf>
    <xf numFmtId="3" fontId="0" fillId="0" borderId="0" xfId="0" applyNumberFormat="1"/>
    <xf numFmtId="0" fontId="10" fillId="0" borderId="4" xfId="0" applyNumberFormat="1" applyFont="1" applyFill="1" applyBorder="1" applyAlignment="1" applyProtection="1">
      <alignment horizontal="left"/>
    </xf>
    <xf numFmtId="0" fontId="10" fillId="3" borderId="10" xfId="0" applyNumberFormat="1" applyFont="1" applyFill="1" applyBorder="1" applyAlignment="1" applyProtection="1">
      <alignment horizontal="center"/>
    </xf>
    <xf numFmtId="0" fontId="10" fillId="3" borderId="4" xfId="0" applyNumberFormat="1" applyFont="1" applyFill="1" applyBorder="1" applyAlignment="1" applyProtection="1">
      <alignment horizontal="center"/>
    </xf>
    <xf numFmtId="3" fontId="10" fillId="3" borderId="10" xfId="0" applyNumberFormat="1" applyFont="1" applyFill="1" applyBorder="1" applyAlignment="1" applyProtection="1">
      <alignment horizontal="center"/>
    </xf>
    <xf numFmtId="3" fontId="10" fillId="3" borderId="4" xfId="0" applyNumberFormat="1" applyFont="1" applyFill="1" applyBorder="1" applyAlignment="1" applyProtection="1">
      <alignment horizontal="center"/>
    </xf>
    <xf numFmtId="166" fontId="10" fillId="3" borderId="10" xfId="0" applyNumberFormat="1" applyFont="1" applyFill="1" applyBorder="1" applyAlignment="1" applyProtection="1">
      <alignment horizontal="center"/>
    </xf>
    <xf numFmtId="166" fontId="10" fillId="3" borderId="4" xfId="0" applyNumberFormat="1" applyFont="1" applyFill="1" applyBorder="1" applyAlignment="1" applyProtection="1">
      <alignment horizontal="center"/>
    </xf>
    <xf numFmtId="10" fontId="10" fillId="3" borderId="10" xfId="0" applyNumberFormat="1" applyFont="1" applyFill="1" applyBorder="1" applyAlignment="1" applyProtection="1">
      <alignment horizontal="center"/>
    </xf>
    <xf numFmtId="10" fontId="10" fillId="3" borderId="4" xfId="0" applyNumberFormat="1" applyFont="1" applyFill="1" applyBorder="1" applyAlignment="1" applyProtection="1">
      <alignment horizontal="center"/>
    </xf>
    <xf numFmtId="3" fontId="10" fillId="8" borderId="10" xfId="0" applyNumberFormat="1" applyFont="1" applyFill="1" applyBorder="1" applyAlignment="1" applyProtection="1">
      <alignment horizontal="center"/>
    </xf>
    <xf numFmtId="3" fontId="10" fillId="8" borderId="4" xfId="0" applyNumberFormat="1" applyFont="1" applyFill="1" applyBorder="1" applyAlignment="1" applyProtection="1">
      <alignment horizontal="center"/>
    </xf>
    <xf numFmtId="3" fontId="10" fillId="9" borderId="11" xfId="0" applyNumberFormat="1" applyFont="1" applyFill="1" applyBorder="1" applyAlignment="1" applyProtection="1">
      <alignment horizontal="center"/>
    </xf>
    <xf numFmtId="3" fontId="10" fillId="9" borderId="12" xfId="0" applyNumberFormat="1" applyFont="1" applyFill="1" applyBorder="1" applyAlignment="1" applyProtection="1">
      <alignment horizontal="center"/>
    </xf>
    <xf numFmtId="0" fontId="10" fillId="5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0" fillId="0" borderId="0" xfId="0" applyFont="1"/>
    <xf numFmtId="0" fontId="12" fillId="10" borderId="4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10" fillId="8" borderId="4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</xf>
    <xf numFmtId="0" fontId="0" fillId="0" borderId="4" xfId="0" applyFont="1" applyFill="1" applyBorder="1"/>
    <xf numFmtId="0" fontId="12" fillId="0" borderId="4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center"/>
    </xf>
    <xf numFmtId="0" fontId="0" fillId="4" borderId="0" xfId="0" applyFont="1" applyFill="1" applyBorder="1"/>
    <xf numFmtId="0" fontId="12" fillId="5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0" fontId="0" fillId="0" borderId="0" xfId="0" applyFont="1" applyFill="1"/>
    <xf numFmtId="1" fontId="10" fillId="3" borderId="4" xfId="1" applyNumberFormat="1" applyFont="1" applyFill="1" applyBorder="1" applyAlignment="1" applyProtection="1">
      <alignment horizontal="center"/>
    </xf>
    <xf numFmtId="1" fontId="0" fillId="0" borderId="0" xfId="0" applyNumberFormat="1" applyFont="1"/>
    <xf numFmtId="165" fontId="0" fillId="0" borderId="4" xfId="1" applyNumberFormat="1" applyFont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 applyProtection="1"/>
    <xf numFmtId="0" fontId="0" fillId="4" borderId="0" xfId="0" applyFont="1" applyFill="1"/>
    <xf numFmtId="3" fontId="10" fillId="4" borderId="0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 applyProtection="1"/>
    <xf numFmtId="0" fontId="0" fillId="4" borderId="0" xfId="0" applyFill="1" applyBorder="1" applyAlignment="1"/>
    <xf numFmtId="10" fontId="0" fillId="4" borderId="0" xfId="3" applyNumberFormat="1" applyFont="1" applyFill="1" applyBorder="1" applyAlignment="1">
      <alignment horizontal="center"/>
    </xf>
    <xf numFmtId="0" fontId="2" fillId="6" borderId="4" xfId="0" applyFont="1" applyFill="1" applyBorder="1"/>
    <xf numFmtId="0" fontId="0" fillId="6" borderId="12" xfId="0" applyFont="1" applyFill="1" applyBorder="1"/>
    <xf numFmtId="0" fontId="2" fillId="6" borderId="12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3" fontId="1" fillId="7" borderId="4" xfId="1" applyNumberFormat="1" applyFont="1" applyFill="1" applyBorder="1" applyAlignment="1">
      <alignment horizontal="center"/>
    </xf>
    <xf numFmtId="3" fontId="1" fillId="0" borderId="4" xfId="1" applyNumberFormat="1" applyFont="1" applyBorder="1" applyAlignment="1"/>
    <xf numFmtId="0" fontId="0" fillId="0" borderId="4" xfId="0" applyBorder="1" applyAlignment="1"/>
    <xf numFmtId="0" fontId="0" fillId="2" borderId="4" xfId="0" applyFill="1" applyBorder="1" applyAlignment="1"/>
    <xf numFmtId="0" fontId="6" fillId="4" borderId="3" xfId="2" applyFont="1" applyFill="1" applyBorder="1" applyAlignment="1" applyProtection="1"/>
    <xf numFmtId="0" fontId="6" fillId="4" borderId="7" xfId="2" applyFont="1" applyFill="1" applyBorder="1" applyAlignment="1" applyProtection="1"/>
    <xf numFmtId="0" fontId="6" fillId="4" borderId="0" xfId="2" applyFont="1" applyFill="1" applyBorder="1" applyAlignment="1" applyProtection="1"/>
    <xf numFmtId="3" fontId="0" fillId="4" borderId="0" xfId="0" applyNumberFormat="1" applyFill="1" applyBorder="1" applyAlignment="1"/>
    <xf numFmtId="0" fontId="0" fillId="0" borderId="0" xfId="0" applyBorder="1" applyAlignment="1"/>
    <xf numFmtId="3" fontId="1" fillId="4" borderId="0" xfId="1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/>
    <xf numFmtId="0" fontId="0" fillId="0" borderId="0" xfId="0" applyBorder="1"/>
    <xf numFmtId="1" fontId="0" fillId="4" borderId="0" xfId="0" applyNumberFormat="1" applyFill="1" applyBorder="1" applyAlignment="1"/>
    <xf numFmtId="3" fontId="1" fillId="4" borderId="0" xfId="1" applyNumberFormat="1" applyFont="1" applyFill="1" applyBorder="1" applyAlignment="1"/>
    <xf numFmtId="164" fontId="0" fillId="4" borderId="0" xfId="0" applyNumberFormat="1" applyFill="1" applyBorder="1" applyAlignment="1"/>
    <xf numFmtId="0" fontId="0" fillId="4" borderId="0" xfId="0" applyFill="1" applyBorder="1"/>
    <xf numFmtId="3" fontId="1" fillId="7" borderId="5" xfId="1" applyNumberFormat="1" applyFont="1" applyFill="1" applyBorder="1" applyAlignment="1">
      <alignment horizontal="center"/>
    </xf>
    <xf numFmtId="3" fontId="1" fillId="11" borderId="4" xfId="1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10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 applyProtection="1">
      <alignment horizontal="center"/>
    </xf>
    <xf numFmtId="0" fontId="0" fillId="6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4" borderId="13" xfId="0" applyFill="1" applyBorder="1" applyAlignment="1"/>
    <xf numFmtId="0" fontId="10" fillId="4" borderId="0" xfId="0" applyNumberFormat="1" applyFont="1" applyFill="1" applyBorder="1" applyAlignment="1" applyProtection="1"/>
    <xf numFmtId="3" fontId="10" fillId="4" borderId="0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/>
    <xf numFmtId="0" fontId="0" fillId="0" borderId="4" xfId="0" applyBorder="1"/>
    <xf numFmtId="9" fontId="10" fillId="0" borderId="4" xfId="3" applyFont="1" applyFill="1" applyBorder="1" applyAlignment="1">
      <alignment horizontal="center"/>
    </xf>
    <xf numFmtId="0" fontId="0" fillId="4" borderId="0" xfId="0" applyFill="1"/>
    <xf numFmtId="0" fontId="0" fillId="4" borderId="14" xfId="0" applyFill="1" applyBorder="1" applyAlignment="1"/>
    <xf numFmtId="1" fontId="0" fillId="0" borderId="0" xfId="0" applyNumberFormat="1"/>
    <xf numFmtId="165" fontId="0" fillId="4" borderId="0" xfId="0" applyNumberFormat="1" applyFill="1"/>
    <xf numFmtId="0" fontId="0" fillId="6" borderId="12" xfId="0" applyFill="1" applyBorder="1"/>
    <xf numFmtId="167" fontId="0" fillId="4" borderId="0" xfId="0" applyNumberFormat="1" applyFont="1" applyFill="1" applyBorder="1"/>
    <xf numFmtId="10" fontId="0" fillId="4" borderId="0" xfId="0" applyNumberFormat="1" applyFill="1"/>
    <xf numFmtId="0" fontId="4" fillId="2" borderId="15" xfId="0" applyFont="1" applyFill="1" applyBorder="1" applyAlignment="1">
      <alignment horizontal="left"/>
    </xf>
    <xf numFmtId="164" fontId="0" fillId="3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12" fillId="12" borderId="4" xfId="0" applyNumberFormat="1" applyFont="1" applyFill="1" applyBorder="1" applyAlignment="1" applyProtection="1">
      <alignment horizontal="center"/>
    </xf>
    <xf numFmtId="166" fontId="10" fillId="4" borderId="10" xfId="0" applyNumberFormat="1" applyFont="1" applyFill="1" applyBorder="1" applyAlignment="1" applyProtection="1">
      <alignment horizontal="center"/>
    </xf>
    <xf numFmtId="0" fontId="9" fillId="4" borderId="0" xfId="0" applyFont="1" applyFill="1"/>
    <xf numFmtId="3" fontId="0" fillId="4" borderId="0" xfId="0" applyNumberFormat="1" applyFill="1"/>
    <xf numFmtId="0" fontId="0" fillId="0" borderId="5" xfId="0" applyBorder="1" applyAlignment="1"/>
    <xf numFmtId="10" fontId="0" fillId="0" borderId="4" xfId="0" applyNumberFormat="1" applyBorder="1" applyAlignment="1">
      <alignment horizontal="center"/>
    </xf>
    <xf numFmtId="0" fontId="2" fillId="4" borderId="0" xfId="0" applyFont="1" applyFill="1"/>
    <xf numFmtId="0" fontId="0" fillId="0" borderId="16" xfId="0" applyBorder="1"/>
    <xf numFmtId="0" fontId="0" fillId="4" borderId="4" xfId="0" applyFill="1" applyBorder="1"/>
    <xf numFmtId="0" fontId="0" fillId="13" borderId="4" xfId="0" applyFill="1" applyBorder="1"/>
    <xf numFmtId="165" fontId="1" fillId="0" borderId="4" xfId="1" applyNumberFormat="1" applyFont="1" applyBorder="1"/>
    <xf numFmtId="165" fontId="1" fillId="14" borderId="16" xfId="1" applyNumberFormat="1" applyFont="1" applyFill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</cellXfs>
  <cellStyles count="13">
    <cellStyle name="Comma" xfId="1" builtinId="3"/>
    <cellStyle name="Comma 2" xfId="4"/>
    <cellStyle name="Comma 3" xfId="5"/>
    <cellStyle name="Comma[0]" xfId="6"/>
    <cellStyle name="Currency 2" xfId="7"/>
    <cellStyle name="Currency[0]" xfId="8"/>
    <cellStyle name="Hyperlink" xfId="2" builtinId="8"/>
    <cellStyle name="Normal" xfId="0" builtinId="0"/>
    <cellStyle name="Normal 2" xfId="9"/>
    <cellStyle name="Normal 3" xfId="10"/>
    <cellStyle name="Percent" xfId="3" builtinId="5"/>
    <cellStyle name="Percent 2" xfId="11"/>
    <cellStyle name="Percent 3" xfId="12"/>
  </cellStyles>
  <dxfs count="8"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FF"/>
      <color rgb="FF0000FF"/>
      <color rgb="FF006600"/>
      <color rgb="FF66FF33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1"/>
          <c:order val="0"/>
          <c:tx>
            <c:strRef>
              <c:f>'retirement-cashflow'!$D$1</c:f>
              <c:strCache>
                <c:ptCount val="1"/>
                <c:pt idx="0">
                  <c:v>year end  corpus value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'retirement-cashflow'!$A$2:$A$37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xVal>
          <c:yVal>
            <c:numRef>
              <c:f>'retirement-cashflow'!$D$2:$D$37</c:f>
              <c:numCache>
                <c:formatCode>General</c:formatCode>
                <c:ptCount val="36"/>
                <c:pt idx="0">
                  <c:v>80233409.62199302</c:v>
                </c:pt>
                <c:pt idx="1">
                  <c:v>82459829.391237974</c:v>
                </c:pt>
                <c:pt idx="2">
                  <c:v>84487059.971976236</c:v>
                </c:pt>
                <c:pt idx="3">
                  <c:v>86265208.979823083</c:v>
                </c:pt>
                <c:pt idx="4">
                  <c:v>87737336.487205669</c:v>
                </c:pt>
                <c:pt idx="5">
                  <c:v>88838616.166188568</c:v>
                </c:pt>
                <c:pt idx="6">
                  <c:v>89495404.567890674</c:v>
                </c:pt>
                <c:pt idx="7">
                  <c:v>89624208.96148558</c:v>
                </c:pt>
                <c:pt idx="8">
                  <c:v>89130543.189102799</c:v>
                </c:pt>
                <c:pt idx="9">
                  <c:v>87907659.930892259</c:v>
                </c:pt>
                <c:pt idx="10">
                  <c:v>85835146.60782437</c:v>
                </c:pt>
                <c:pt idx="11">
                  <c:v>82777370.86833252</c:v>
                </c:pt>
                <c:pt idx="12">
                  <c:v>78581760.197550729</c:v>
                </c:pt>
                <c:pt idx="13">
                  <c:v>73076898.642484024</c:v>
                </c:pt>
                <c:pt idx="14">
                  <c:v>66070421.949633621</c:v>
                </c:pt>
                <c:pt idx="15">
                  <c:v>57346690.54877276</c:v>
                </c:pt>
                <c:pt idx="16">
                  <c:v>46664217.771728188</c:v>
                </c:pt>
                <c:pt idx="17">
                  <c:v>33752828.450634874</c:v>
                </c:pt>
                <c:pt idx="18">
                  <c:v>18310520.576999251</c:v>
                </c:pt>
                <c:pt idx="19">
                  <c:v>9.9778175354003918E-7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'retirement-cashflow'!$C$1</c:f>
              <c:strCache>
                <c:ptCount val="1"/>
                <c:pt idx="0">
                  <c:v>Withdrawal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'retirement-cashflow'!$A$2:$A$37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xVal>
          <c:yVal>
            <c:numRef>
              <c:f>'retirement-cashflow'!$C$2:$C$37</c:f>
              <c:numCache>
                <c:formatCode>General</c:formatCode>
                <c:ptCount val="36"/>
                <c:pt idx="0">
                  <c:v>3561207.1020340491</c:v>
                </c:pt>
                <c:pt idx="1">
                  <c:v>3881715.741217114</c:v>
                </c:pt>
                <c:pt idx="2">
                  <c:v>4231070.1579266544</c:v>
                </c:pt>
                <c:pt idx="3">
                  <c:v>4611866.4721400533</c:v>
                </c:pt>
                <c:pt idx="4">
                  <c:v>5026934.4546326585</c:v>
                </c:pt>
                <c:pt idx="5">
                  <c:v>5479358.5555495983</c:v>
                </c:pt>
                <c:pt idx="6">
                  <c:v>5972500.8255490623</c:v>
                </c:pt>
                <c:pt idx="7">
                  <c:v>6510025.8998484788</c:v>
                </c:pt>
                <c:pt idx="8">
                  <c:v>7095928.2308348427</c:v>
                </c:pt>
                <c:pt idx="9">
                  <c:v>7734561.7716099788</c:v>
                </c:pt>
                <c:pt idx="10">
                  <c:v>8430672.3310548775</c:v>
                </c:pt>
                <c:pt idx="11">
                  <c:v>9189432.8408498168</c:v>
                </c:pt>
                <c:pt idx="12">
                  <c:v>10016481.796526302</c:v>
                </c:pt>
                <c:pt idx="13">
                  <c:v>10917965.158213669</c:v>
                </c:pt>
                <c:pt idx="14">
                  <c:v>11900582.0224529</c:v>
                </c:pt>
                <c:pt idx="15">
                  <c:v>12971634.404473662</c:v>
                </c:pt>
                <c:pt idx="16">
                  <c:v>14139081.500876293</c:v>
                </c:pt>
                <c:pt idx="17">
                  <c:v>15411598.83595516</c:v>
                </c:pt>
                <c:pt idx="18">
                  <c:v>16798642.731191125</c:v>
                </c:pt>
                <c:pt idx="19">
                  <c:v>18310520.576998327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1"/>
        </c:ser>
        <c:axId val="49096960"/>
        <c:axId val="49103616"/>
      </c:scatterChart>
      <c:valAx>
        <c:axId val="4909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Years from retirement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9103616"/>
        <c:crosses val="autoZero"/>
        <c:crossBetween val="midCat"/>
      </c:valAx>
      <c:valAx>
        <c:axId val="49103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9096960"/>
        <c:crosses val="autoZero"/>
        <c:crossBetween val="midCat"/>
        <c:dispUnits>
          <c:builtInUnit val="hundredThousands"/>
          <c:dispUnitsLbl>
            <c:layout/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</c:dispUnitsLbl>
        </c:dispUnits>
      </c:valAx>
    </c:plotArea>
    <c:legend>
      <c:legendPos val="t"/>
      <c:layout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solidFill>
      <a:schemeClr val="bg1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cashflow!$S$1</c:f>
              <c:strCache>
                <c:ptCount val="1"/>
                <c:pt idx="0">
                  <c:v>Corpus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cashflow!$M$3:$M$27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cashflow!$S$3:$S$27</c:f>
              <c:numCache>
                <c:formatCode>0</c:formatCode>
                <c:ptCount val="25"/>
                <c:pt idx="0">
                  <c:v>600457.63027690037</c:v>
                </c:pt>
                <c:pt idx="1">
                  <c:v>1321006.786609181</c:v>
                </c:pt>
                <c:pt idx="2">
                  <c:v>2179661.1979051488</c:v>
                </c:pt>
                <c:pt idx="3">
                  <c:v>3196836.4235942187</c:v>
                </c:pt>
                <c:pt idx="4">
                  <c:v>4395650.0824420508</c:v>
                </c:pt>
                <c:pt idx="5">
                  <c:v>5802258.108823508</c:v>
                </c:pt>
                <c:pt idx="6">
                  <c:v>5497514.1396568343</c:v>
                </c:pt>
                <c:pt idx="7">
                  <c:v>7217387.6055685924</c:v>
                </c:pt>
                <c:pt idx="8">
                  <c:v>9226260.6232661344</c:v>
                </c:pt>
                <c:pt idx="9">
                  <c:v>11564734.368447497</c:v>
                </c:pt>
                <c:pt idx="10">
                  <c:v>14278640.256432472</c:v>
                </c:pt>
                <c:pt idx="11">
                  <c:v>17419679.978329968</c:v>
                </c:pt>
                <c:pt idx="12">
                  <c:v>12415463.206059882</c:v>
                </c:pt>
                <c:pt idx="13">
                  <c:v>15729952.119133512</c:v>
                </c:pt>
                <c:pt idx="14">
                  <c:v>9140063.7592221275</c:v>
                </c:pt>
                <c:pt idx="15">
                  <c:v>12562330.672030186</c:v>
                </c:pt>
                <c:pt idx="16">
                  <c:v>16577650.329807635</c:v>
                </c:pt>
                <c:pt idx="17">
                  <c:v>21270410.612420272</c:v>
                </c:pt>
                <c:pt idx="18">
                  <c:v>26735946.448257361</c:v>
                </c:pt>
                <c:pt idx="19">
                  <c:v>33081885.345137663</c:v>
                </c:pt>
                <c:pt idx="20">
                  <c:v>33029402.612653282</c:v>
                </c:pt>
                <c:pt idx="21">
                  <c:v>40775879.41890464</c:v>
                </c:pt>
                <c:pt idx="22">
                  <c:v>48845927.317024499</c:v>
                </c:pt>
                <c:pt idx="23">
                  <c:v>59107199.268160045</c:v>
                </c:pt>
                <c:pt idx="24" formatCode="#,##0">
                  <c:v>70932266.336352453</c:v>
                </c:pt>
              </c:numCache>
            </c:numRef>
          </c:yVal>
          <c:smooth val="1"/>
        </c:ser>
        <c:axId val="48852992"/>
        <c:axId val="48855296"/>
      </c:scatterChart>
      <c:valAx>
        <c:axId val="4885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years from now</a:t>
                </a:r>
              </a:p>
            </c:rich>
          </c:tx>
          <c:layout/>
        </c:title>
        <c:numFmt formatCode="General" sourceLinked="1"/>
        <c:tickLblPos val="nextTo"/>
        <c:crossAx val="48855296"/>
        <c:crosses val="autoZero"/>
        <c:crossBetween val="midCat"/>
      </c:valAx>
      <c:valAx>
        <c:axId val="48855296"/>
        <c:scaling>
          <c:orientation val="minMax"/>
        </c:scaling>
        <c:axPos val="l"/>
        <c:majorGridlines/>
        <c:numFmt formatCode="0" sourceLinked="1"/>
        <c:tickLblPos val="nextTo"/>
        <c:crossAx val="48852992"/>
        <c:crosses val="autoZero"/>
        <c:crossBetween val="midCat"/>
        <c:dispUnits>
          <c:builtInUnit val="hundredThousands"/>
          <c:dispUnitsLbl>
            <c:layout/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</c:dispUnitsLbl>
        </c:dispUnits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120344</xdr:colOff>
      <xdr:row>21</xdr:row>
      <xdr:rowOff>40202</xdr:rowOff>
    </xdr:from>
    <xdr:to>
      <xdr:col>9</xdr:col>
      <xdr:colOff>441960</xdr:colOff>
      <xdr:row>39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121526</xdr:colOff>
      <xdr:row>1</xdr:row>
      <xdr:rowOff>24765</xdr:rowOff>
    </xdr:from>
    <xdr:to>
      <xdr:col>9</xdr:col>
      <xdr:colOff>487680</xdr:colOff>
      <xdr:row>19</xdr:row>
      <xdr:rowOff>91441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-old/Pattu-Automated-mf-portfolio-financial-goal-tracker-May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Chennai/goal-investment-optimiz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hyderabad/Final/goal-investment-optimiz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Chennai/chennai-investor-meet-sheet-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Roaming/Microsoft/Excel/Pattu-MF-Tracker-tri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+7 Buckets income ladder"/>
      <sheetName val="PPF Tracker-Giggi"/>
      <sheetName val="PPF Tracker-amma"/>
      <sheetName val="PPF Tracker-rama"/>
      <sheetName val="PPF Tracker-pattu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Home"/>
      <sheetName val="Goal Tracker"/>
      <sheetName val="Inputs retirement"/>
      <sheetName val="Goal Analysis"/>
      <sheetName val="Franklin-smaller-comp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HDFC-top-200-reg"/>
      <sheetName val="Canara-robeco"/>
      <sheetName val="sundaram-elss-3"/>
      <sheetName val="Icici-pru-dynamic-dir"/>
      <sheetName val="Icici-pru-dynamic-reg"/>
      <sheetName val="rupa2"/>
      <sheetName val="rupa1"/>
      <sheetName val="Sundaram-elss-2"/>
      <sheetName val="HDFC-prudence-dir"/>
      <sheetName val="UTI-spread"/>
      <sheetName val="HDFC-top200-dir"/>
      <sheetName val="HDFC-equity-dir"/>
      <sheetName val="UTI-divY-dir"/>
      <sheetName val="UTI-divY-reg"/>
      <sheetName val="UTI-Oppur-dir"/>
      <sheetName val="QLTE"/>
      <sheetName val="HDFC-prudence-reg"/>
      <sheetName val="SBI-taxgain"/>
      <sheetName val="HDFC-Equity-reg"/>
      <sheetName val="HDFC-balanced-dir"/>
      <sheetName val="HDFC-balanced-reg"/>
      <sheetName val="DSPBR-top-100-dir"/>
      <sheetName val="DSPBR-top-100-reg"/>
      <sheetName val="FIBCF-regular"/>
      <sheetName val="FIBCF-direct"/>
      <sheetName val="FT-US-feeder"/>
      <sheetName val="PPFAS-LTVF"/>
      <sheetName val="error-list"/>
    </sheetNames>
    <sheetDataSet>
      <sheetData sheetId="0"/>
      <sheetData sheetId="1"/>
      <sheetData sheetId="2"/>
      <sheetData sheetId="3"/>
      <sheetData sheetId="4"/>
      <sheetData sheetId="5">
        <row r="1">
          <cell r="Z1">
            <v>0</v>
          </cell>
        </row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6"/>
      <sheetData sheetId="7"/>
      <sheetData sheetId="8"/>
      <sheetData sheetId="9">
        <row r="1">
          <cell r="O1">
            <v>20000</v>
          </cell>
          <cell r="Q1">
            <v>1293.8626603239625</v>
          </cell>
        </row>
        <row r="2">
          <cell r="AD2">
            <v>16.22</v>
          </cell>
        </row>
        <row r="3">
          <cell r="AD3" t="e">
            <v>#N/A</v>
          </cell>
        </row>
      </sheetData>
      <sheetData sheetId="10"/>
      <sheetData sheetId="11">
        <row r="1">
          <cell r="N1">
            <v>1405.6397306397305</v>
          </cell>
        </row>
        <row r="2">
          <cell r="N2">
            <v>720</v>
          </cell>
        </row>
        <row r="3">
          <cell r="BH3">
            <v>0</v>
          </cell>
        </row>
        <row r="5">
          <cell r="C5">
            <v>1095</v>
          </cell>
        </row>
        <row r="9">
          <cell r="F9">
            <v>47.52</v>
          </cell>
        </row>
        <row r="10">
          <cell r="F10">
            <v>42094</v>
          </cell>
        </row>
      </sheetData>
      <sheetData sheetId="12"/>
      <sheetData sheetId="13"/>
      <sheetData sheetId="14">
        <row r="4">
          <cell r="BI4" t="str">
            <v>PPFAS-LTVF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FT-US-feeder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>FIBCF-direct</v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>QLTE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>DSPBR-top-100-reg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>DSPBR-top-100-dir</v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>HDFC-balanced-dir</v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>HDFC-equity-dir</v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>Sundaram-elss-2</v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>sundaram-elss-3</v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>Canara-robeco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>HDFC-balanced-reg</v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>HDFC-Equity-reg</v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>SBI-taxgain</v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>FIBCF-regular</v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>HDFC-top200-dir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>HDFC-prudence-dir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>Icici-pru-dynamic-dir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>Icici-pru-dynamic-reg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>HDFC-prudence-reg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>HDFC-top-200-reg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>UTI-Oppur-dir</v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>UTI-divY-dir</v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>UTI-spread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>UTI-divY-reg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>rupa1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>rupa2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>Franklin-smaller-comp</v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Q1" t="e">
            <v>#N/A</v>
          </cell>
        </row>
      </sheetData>
      <sheetData sheetId="21"/>
      <sheetData sheetId="22"/>
      <sheetData sheetId="23">
        <row r="5">
          <cell r="P5">
            <v>42093</v>
          </cell>
        </row>
        <row r="17">
          <cell r="E17">
            <v>68.512112118445643</v>
          </cell>
        </row>
      </sheetData>
      <sheetData sheetId="24"/>
      <sheetData sheetId="25"/>
      <sheetData sheetId="26"/>
      <sheetData sheetId="27"/>
      <sheetData sheetId="28">
        <row r="2">
          <cell r="V2" t="str">
            <v>Sundaram  Monthly Income Plan-Monthly Dividend</v>
          </cell>
        </row>
        <row r="3">
          <cell r="V3" t="str">
            <v>Sundaram  Monthly Income Plan-Quarterly-Dividend</v>
          </cell>
        </row>
        <row r="4">
          <cell r="V4" t="str">
            <v>Sundaram Balanced Fund - Appreciation Option</v>
          </cell>
        </row>
        <row r="5">
          <cell r="V5" t="str">
            <v>Sundaram Balanced Fund - Direct Plan - Dividend Option</v>
          </cell>
        </row>
        <row r="6">
          <cell r="V6" t="str">
            <v>Sundaram Balanced Fund - Direct Plan - Growth Option</v>
          </cell>
        </row>
        <row r="7">
          <cell r="V7" t="str">
            <v>Sundaram Balanced Fund - Dividend Option</v>
          </cell>
        </row>
        <row r="8">
          <cell r="V8" t="str">
            <v>Sundaram Balanced Fund - Institutional Dividend Option</v>
          </cell>
        </row>
        <row r="9">
          <cell r="V9" t="str">
            <v>Sundaram Bond Saver - Direct Plan - Annual Dividend Option</v>
          </cell>
        </row>
        <row r="10">
          <cell r="V10" t="str">
            <v>Sundaram Bond Saver - Direct Plan - Bonus Option</v>
          </cell>
        </row>
        <row r="11">
          <cell r="V11" t="str">
            <v>Sundaram Bond Saver - Direct Plan - Growth Option</v>
          </cell>
        </row>
        <row r="12">
          <cell r="V12" t="str">
            <v>Sundaram Bond Saver - Direct Plan - Half Yearly Dividend Option</v>
          </cell>
        </row>
        <row r="13">
          <cell r="V13" t="str">
            <v>Sundaram Bond Saver - Direct Plan - Quarterly Dividend Option</v>
          </cell>
        </row>
        <row r="14">
          <cell r="V14" t="str">
            <v>Sundaram Bond Saver-Annual Dividend</v>
          </cell>
        </row>
        <row r="15">
          <cell r="V15" t="str">
            <v>Sundaram Bond Saver-Bonus Option</v>
          </cell>
        </row>
        <row r="16">
          <cell r="V16" t="str">
            <v>Sundaram Bond Saver-Growth</v>
          </cell>
        </row>
        <row r="17">
          <cell r="V17" t="str">
            <v>Sundaram Bond Saver-Half-Yearly Dividend</v>
          </cell>
        </row>
        <row r="18">
          <cell r="V18" t="str">
            <v>Sundaram Bond Saver-Institutional Plan - Bonus Option</v>
          </cell>
        </row>
        <row r="19">
          <cell r="V19" t="str">
            <v>Sundaram Bond Saver-Institutional Plan(Annual Dividend)</v>
          </cell>
        </row>
        <row r="20">
          <cell r="V20" t="str">
            <v>Sundaram Bond Saver-Institutional Plan(Growth)</v>
          </cell>
        </row>
        <row r="21">
          <cell r="V21" t="str">
            <v>Sundaram Bond Saver-Institutional Plan(Half-Yearly Dividend)</v>
          </cell>
        </row>
        <row r="22">
          <cell r="V22" t="str">
            <v>Sundaram Bond Saver-Institutional Plan(Qtrly Dividend)</v>
          </cell>
        </row>
        <row r="23">
          <cell r="V23" t="str">
            <v>Sundaram Bond Saver-Qtrly Dividend</v>
          </cell>
        </row>
        <row r="24">
          <cell r="V24" t="str">
            <v>Sundaram CAPEX Opportunities Fund-Dividend</v>
          </cell>
        </row>
        <row r="25">
          <cell r="V25" t="str">
            <v>Sundaram CAPEX Opportunities Fund-Growth</v>
          </cell>
        </row>
        <row r="26">
          <cell r="V26" t="str">
            <v>Sundaram CAPEX Opportunities Fund-Inst DIVD</v>
          </cell>
        </row>
        <row r="27">
          <cell r="V27" t="str">
            <v>Sundaram CAPEX Opportunities Fund-Inst Growth</v>
          </cell>
        </row>
        <row r="28">
          <cell r="V28" t="str">
            <v>Sundaram Energy Opportunities Fund Dividend</v>
          </cell>
        </row>
        <row r="29">
          <cell r="V29" t="str">
            <v>Sundaram Energy Opportunities Fund Growth</v>
          </cell>
        </row>
        <row r="30">
          <cell r="V30" t="str">
            <v>Sundaram Entertainment Opportunities Fund - Direct Plan - Dividend Option</v>
          </cell>
        </row>
        <row r="31">
          <cell r="V31" t="str">
            <v>Sundaram Entertainment Opportunities Fund - Inst  Dividend</v>
          </cell>
        </row>
        <row r="32">
          <cell r="V32" t="str">
            <v>Sundaram Entertainment Opportunities Fund - Inst  Growth</v>
          </cell>
        </row>
        <row r="33">
          <cell r="V33" t="str">
            <v>Sundaram Entertainment Opportunities Fund - Regular Dividend</v>
          </cell>
        </row>
        <row r="34">
          <cell r="V34" t="str">
            <v>Sundaram Entertainment Opportunities Fund - Regular Growth</v>
          </cell>
        </row>
        <row r="35">
          <cell r="V35" t="str">
            <v>Sundaram Entertainment Opportunities Fund -Direct Plan - Growth Option</v>
          </cell>
        </row>
        <row r="36">
          <cell r="V36" t="str">
            <v>Sundaram Equity Multiplier - Direct Plan - Dividend Option</v>
          </cell>
        </row>
        <row r="37">
          <cell r="V37" t="str">
            <v>Sundaram Equity Multiplier - Direct Plan - Growth Option</v>
          </cell>
        </row>
        <row r="38">
          <cell r="V38" t="str">
            <v>Sundaram Equity Multiplier Fund Dividend</v>
          </cell>
        </row>
        <row r="39">
          <cell r="V39" t="str">
            <v>Sundaram Equity Multiplier Fund Growth</v>
          </cell>
        </row>
        <row r="40">
          <cell r="V40" t="str">
            <v>Sundaram Equity plus - Direct Plan - Dividend Option</v>
          </cell>
        </row>
        <row r="41">
          <cell r="V41" t="str">
            <v>Sundaram Equity plus - Direct Plan - Growth Option</v>
          </cell>
        </row>
        <row r="42">
          <cell r="V42" t="str">
            <v>Sundaram Equity Plus- Dividend Option</v>
          </cell>
        </row>
        <row r="43">
          <cell r="V43" t="str">
            <v>Sundaram Equity Plus- Dividend Re-Investment Option</v>
          </cell>
        </row>
        <row r="44">
          <cell r="V44" t="str">
            <v>Sundaram Equity Plus- Growth Option</v>
          </cell>
        </row>
        <row r="45">
          <cell r="V45" t="str">
            <v>Sundaram Financial Services Opportunities Fund - Direct Plan - Dividend Option</v>
          </cell>
        </row>
        <row r="46">
          <cell r="V46" t="str">
            <v>Sundaram Financial Services Opportunities Fund - Direct Plan - Growth Option</v>
          </cell>
        </row>
        <row r="47">
          <cell r="V47" t="str">
            <v>Sundaram Financial Services Opportunities Fund Inst  Dividend</v>
          </cell>
        </row>
        <row r="48">
          <cell r="V48" t="str">
            <v>Sundaram Financial Services Opportunities Fund Inst  Growth</v>
          </cell>
        </row>
        <row r="49">
          <cell r="V49" t="str">
            <v>Sundaram Financial Services Opportunities Fund Reg Dividend</v>
          </cell>
        </row>
        <row r="50">
          <cell r="V50" t="str">
            <v>Sundaram Financial Services Opportunities Fund Reg Growth</v>
          </cell>
        </row>
        <row r="51">
          <cell r="V51" t="str">
            <v>SUNDARAM FIXED INCOME INTERVAL FUND QTRLY PLAN A INST  DIVIDEND</v>
          </cell>
        </row>
        <row r="52">
          <cell r="V52" t="str">
            <v>SUNDARAM FIXED INCOME INTERVAL FUND QTRLY PLAN A INST  GROWTH</v>
          </cell>
        </row>
        <row r="53">
          <cell r="V53" t="str">
            <v>SUNDARAM FIXED INCOME INTERVAL FUND QTRLY PLAN A REGULAR DIVIDEND</v>
          </cell>
        </row>
        <row r="54">
          <cell r="V54" t="str">
            <v>SUNDARAM FIXED INCOME INTERVAL FUND QTRLY PLAN A REGULAR GROWTH</v>
          </cell>
        </row>
        <row r="55">
          <cell r="V55" t="str">
            <v>SUNDARAM FIXED INCOME INTERVAL FUND QTRLY PLAN B INST DIVIDEND</v>
          </cell>
        </row>
        <row r="56">
          <cell r="V56" t="str">
            <v>SUNDARAM FIXED INCOME INTERVAL FUND QTRLY PLAN B INST GROWTH</v>
          </cell>
        </row>
        <row r="57">
          <cell r="V57" t="str">
            <v>SUNDARAM FIXED INCOME INTERVAL FUND QTRLY PLAN B REGULAR  DIVIDEND</v>
          </cell>
        </row>
        <row r="58">
          <cell r="V58" t="str">
            <v>SUNDARAM FIXED INCOME INTERVAL FUND QTRLY PLAN B REGULAR  GROWTH</v>
          </cell>
        </row>
        <row r="59">
          <cell r="V59" t="str">
            <v>Sundaram Fixed Income Interval Fund- Quarterly Series-Plan A - Direct Plan - Dividend Payout</v>
          </cell>
        </row>
        <row r="60">
          <cell r="V60" t="str">
            <v>Sundaram Fixed Income Interval Fund- Quarterly Series-Plan A - Direct Plan - Growth</v>
          </cell>
        </row>
        <row r="61">
          <cell r="V61" t="str">
            <v>Sundaram Fixed Income Interval Fund- Quarterly Series-Plan B - Direct Plan - Dividend Payout</v>
          </cell>
        </row>
        <row r="62">
          <cell r="V62" t="str">
            <v>Sundaram Fixed Income Interval Fund- Quarterly Series-Plan B - Direct Plan - Growth</v>
          </cell>
        </row>
        <row r="63">
          <cell r="V63" t="str">
            <v>Sundaram Flexible Fund - Flexible Income Plan - Direct Plan - Annual Dividend Option</v>
          </cell>
        </row>
        <row r="64">
          <cell r="V64" t="str">
            <v>Sundaram Flexible Fund - Flexible Income Plan - Direct Plan - Bonus Option</v>
          </cell>
        </row>
        <row r="65">
          <cell r="V65" t="str">
            <v>Sundaram Flexible Fund - Flexible Income Plan - Direct Plan - Growth Option</v>
          </cell>
        </row>
        <row r="66">
          <cell r="V66" t="str">
            <v>Sundaram Flexible Fund - Flexible Income Plan - Direct Plan - Half Yearly Dividend Option</v>
          </cell>
        </row>
        <row r="67">
          <cell r="V67" t="str">
            <v>Sundaram Flexible Fund - Flexible Income Plan - Direct Plan - Monthly Dividend Option</v>
          </cell>
        </row>
        <row r="68">
          <cell r="V68" t="str">
            <v>Sundaram Flexible Fund - Flexible Income Plan - Direct Plan - Quarterly Dividend Option</v>
          </cell>
        </row>
        <row r="69">
          <cell r="V69" t="str">
            <v>Sundaram Flexible Fund -Flexible Income Plan  Regular - Annual  Dividend</v>
          </cell>
        </row>
        <row r="70">
          <cell r="V70" t="str">
            <v>Sundaram Flexible Fund -Flexible Income Plan  Regular - Growth</v>
          </cell>
        </row>
        <row r="71">
          <cell r="V71" t="str">
            <v>Sundaram Flexible Fund -Flexible Income Plan  Regular - Half  Yearly Dividend</v>
          </cell>
        </row>
        <row r="72">
          <cell r="V72" t="str">
            <v>Sundaram Flexible Fund -Flexible Income Plan  Regular - Quarterly Dividend</v>
          </cell>
        </row>
        <row r="73">
          <cell r="V73" t="str">
            <v>Sundaram Flexible Fund -Flexible Income Plan Institutional - Monthly Dividend</v>
          </cell>
        </row>
        <row r="74">
          <cell r="V74" t="str">
            <v>Sundaram Flexible Fund -Flexible Income Plan -Institutional - Quarterly Dividend</v>
          </cell>
        </row>
        <row r="75">
          <cell r="V75" t="str">
            <v>Sundaram Flexible Fund -Flexible Income Plan Regular - Monthly Dividend</v>
          </cell>
        </row>
        <row r="76">
          <cell r="V76" t="str">
            <v>Sundaram Flexible Fund Short Term Plan  - Bonus Option</v>
          </cell>
        </row>
        <row r="77">
          <cell r="V77" t="str">
            <v>Sundaram Flexible Fund Short Term Plan - Direct Plan - Bonus Option</v>
          </cell>
        </row>
        <row r="78">
          <cell r="V78" t="str">
            <v>Sundaram Flexible Fund Short Term Plan - Direct Plan - Daily Dividend Reinvestment Option</v>
          </cell>
        </row>
        <row r="79">
          <cell r="V79" t="str">
            <v>Sundaram Flexible Fund Short Term Plan - Direct Plan - Growth Option</v>
          </cell>
        </row>
        <row r="80">
          <cell r="V80" t="str">
            <v>Sundaram Flexible Fund Short Term Plan - Direct Plan - Monthly Dividend Option</v>
          </cell>
        </row>
        <row r="81">
          <cell r="V81" t="str">
            <v>Sundaram Flexible Fund Short Term Plan - Direct Plan - Weekly Dividend Reinvestment Option</v>
          </cell>
        </row>
        <row r="82">
          <cell r="V82" t="str">
            <v>Sundaram Flexible Fund-Flexible Income Plan Institutional - Growth</v>
          </cell>
        </row>
        <row r="83">
          <cell r="V83" t="str">
            <v>Sundaram Flexible Fund-Short Term Plan - Regular Daily Dividend (Formerly Institutional Plan)</v>
          </cell>
        </row>
        <row r="84">
          <cell r="V84" t="str">
            <v>Sundaram Flexible Fund-Short Term Plan - Regular Growth (Formerly Institutional Plan)</v>
          </cell>
        </row>
        <row r="85">
          <cell r="V85" t="str">
            <v>Sundaram Flexible Fund-Short Term Plan - Regular Monthly Dividend (Formerly Institutional Plan)</v>
          </cell>
        </row>
        <row r="86">
          <cell r="V86" t="str">
            <v>Sundaram Flexible Fund-Short Term Plan - Regular Weekly Dividend (Formerly Institutional Plan)</v>
          </cell>
        </row>
        <row r="87">
          <cell r="V87" t="str">
            <v>Sundaram Flexible Fund-Short Term Plan Retail - Growth</v>
          </cell>
        </row>
        <row r="88">
          <cell r="V88" t="str">
            <v>Sundaram Flexible Fund-Short Term Plan Retail Monthly</v>
          </cell>
        </row>
        <row r="89">
          <cell r="V89" t="str">
            <v>Sundaram Gilt Fund - Direct Plan - Bonus Option</v>
          </cell>
        </row>
        <row r="90">
          <cell r="V90" t="str">
            <v>Sundaram Gilt Fund - Direct Plan - Dividend Option</v>
          </cell>
        </row>
        <row r="91">
          <cell r="V91" t="str">
            <v>Sundaram Gilt Fund - Direct Plan - Growth Option</v>
          </cell>
        </row>
        <row r="92">
          <cell r="V92" t="str">
            <v>SUNDARAM GILT FUND (DIV. OPTION)</v>
          </cell>
        </row>
        <row r="93">
          <cell r="V93" t="str">
            <v>SUNDARAM GILT FUND (Growth. OPTION)</v>
          </cell>
        </row>
        <row r="94">
          <cell r="V94" t="str">
            <v>Sundaram Global Advantage - Direct Plan - Dividend Option</v>
          </cell>
        </row>
        <row r="95">
          <cell r="V95" t="str">
            <v>Sundaram Global Advantage - Direct Plan - Growth Option</v>
          </cell>
        </row>
        <row r="96">
          <cell r="V96" t="str">
            <v>Sundaram Global Advantage Fund Dividend</v>
          </cell>
        </row>
        <row r="97">
          <cell r="V97" t="str">
            <v>Sundaram Global Advantage Fund Growth</v>
          </cell>
        </row>
        <row r="98">
          <cell r="V98" t="str">
            <v>Sundaram Growth Fund - Direct Plan - Dividend Option</v>
          </cell>
        </row>
        <row r="99">
          <cell r="V99" t="str">
            <v>Sundaram Growth Fund - Direct Plan - Growth Option</v>
          </cell>
        </row>
        <row r="100">
          <cell r="V100" t="str">
            <v>Sundaram Growth Fund- Inst Dividend</v>
          </cell>
        </row>
        <row r="101">
          <cell r="V101" t="str">
            <v>Sundaram Growth Fund-Dividend</v>
          </cell>
        </row>
        <row r="102">
          <cell r="V102" t="str">
            <v>Sundaram Growth Fund-Growth</v>
          </cell>
        </row>
        <row r="103">
          <cell r="V103" t="str">
            <v>Sundaram Income Plus - Direct Plan - Bonus Option</v>
          </cell>
        </row>
        <row r="104">
          <cell r="V104" t="str">
            <v>Sundaram Income Plus - Direct Plan - Dividend Option</v>
          </cell>
        </row>
        <row r="105">
          <cell r="V105" t="str">
            <v>Sundaram Income Plus - Direct Plan - Growth Option</v>
          </cell>
        </row>
        <row r="106">
          <cell r="V106" t="str">
            <v>Sundaram Income Plus-Appreciation</v>
          </cell>
        </row>
        <row r="107">
          <cell r="V107" t="str">
            <v>Sundaram Income Plus-Dividend</v>
          </cell>
        </row>
        <row r="108">
          <cell r="V108" t="str">
            <v>Sundaram India Leadership Fund-Dividend</v>
          </cell>
        </row>
        <row r="109">
          <cell r="V109" t="str">
            <v>Sundaram India Leadership Fund-Growth</v>
          </cell>
        </row>
        <row r="110">
          <cell r="V110" t="str">
            <v>Sundaram India Leadership Fund-Inst Dividend</v>
          </cell>
        </row>
        <row r="111">
          <cell r="V111" t="str">
            <v>Sundaram India Leadership Fund-Inst Growth</v>
          </cell>
        </row>
        <row r="112">
          <cell r="V112" t="str">
            <v>Sundaram Money Fund - Bonus Option</v>
          </cell>
        </row>
        <row r="113">
          <cell r="V113" t="str">
            <v>Sundaram Money Fund - Direct Plan - Bonus Option</v>
          </cell>
        </row>
        <row r="114">
          <cell r="V114" t="str">
            <v>Sundaram Money Fund - Direct Plan - Daily Dividend Reinvestment Option</v>
          </cell>
        </row>
        <row r="115">
          <cell r="V115" t="str">
            <v>Sundaram Money Fund - Direct Plan - Fortnightly Dividend Reinvestment Option</v>
          </cell>
        </row>
        <row r="116">
          <cell r="V116" t="str">
            <v>Sundaram Money Fund - Direct Plan - Growth Option</v>
          </cell>
        </row>
        <row r="117">
          <cell r="V117" t="str">
            <v>Sundaram Money Fund - Direct Plan - Monthly Dividend Option</v>
          </cell>
        </row>
        <row r="118">
          <cell r="V118" t="str">
            <v>Sundaram Money Fund - Direct Plan - Quarterly Dividend Reinvestment Option</v>
          </cell>
        </row>
        <row r="119">
          <cell r="V119" t="str">
            <v>Sundaram Money Fund - Direct Plan - Weekly Dividend Reinvestment Option</v>
          </cell>
        </row>
        <row r="120">
          <cell r="V120" t="str">
            <v>Sundaram Money Fund Regular Daily Div. Reinvest (Formerly Super Institutional Plan)</v>
          </cell>
        </row>
        <row r="121">
          <cell r="V121" t="str">
            <v>Sundaram Money Fund Regular fortnightly Div.Rein (Formerly Super Institutional Plan)</v>
          </cell>
        </row>
        <row r="122">
          <cell r="V122" t="str">
            <v>Sundaram Money Fund Regular Growth (Formerly Super Institutional Plan)</v>
          </cell>
        </row>
        <row r="123">
          <cell r="V123" t="str">
            <v>Sundaram Money Fund Regular monthly Div. (Formerly Super Institutional Plan)</v>
          </cell>
        </row>
        <row r="124">
          <cell r="V124" t="str">
            <v>Sundaram Money Fund Regular Qrtly Div. Reinvest (Formerly Super Institutional Plan)</v>
          </cell>
        </row>
        <row r="125">
          <cell r="V125" t="str">
            <v>Sundaram Money Fund Regular weekly Dividend. Rein (Formerly Super Institutional Plan)</v>
          </cell>
        </row>
        <row r="126">
          <cell r="V126" t="str">
            <v>Sundaram Money Fund- Retail Appreciation</v>
          </cell>
        </row>
        <row r="127">
          <cell r="V127" t="str">
            <v>Sundaram Money Fund- Retail Daily Dividend Reinvestment</v>
          </cell>
        </row>
        <row r="128">
          <cell r="V128" t="str">
            <v>Sundaram Money Fund- Retail Fortnightly Div Reinvst</v>
          </cell>
        </row>
        <row r="129">
          <cell r="V129" t="str">
            <v>Sundaram Money Fund- Retail Monthly Div. Reinvst</v>
          </cell>
        </row>
        <row r="130">
          <cell r="V130" t="str">
            <v>Sundaram Money Fund- Retail Quarterly Dividend Reinvestment</v>
          </cell>
        </row>
        <row r="131">
          <cell r="V131" t="str">
            <v>Sundaram Money Fund- Retail Weekly Div. Reinvst</v>
          </cell>
        </row>
        <row r="132">
          <cell r="V132" t="str">
            <v>Sundaram Money Fund-Institutional Plan-Daily Div. Reinvestment</v>
          </cell>
        </row>
        <row r="133">
          <cell r="V133" t="str">
            <v>Sundaram Money Fund-Institutional Plan-Fortnightly Div Reinvestment</v>
          </cell>
        </row>
        <row r="134">
          <cell r="V134" t="str">
            <v>Sundaram Money Fund-Institutional Plan-Growth Option</v>
          </cell>
        </row>
        <row r="135">
          <cell r="V135" t="str">
            <v>Sundaram Money Fund-Institutional Plan-Monthly Div. Reinvestment</v>
          </cell>
        </row>
        <row r="136">
          <cell r="V136" t="str">
            <v>Sundaram Money Fund-Institutional Plan-Quarterly Div. Reinvestment</v>
          </cell>
        </row>
        <row r="137">
          <cell r="V137" t="str">
            <v>Sundaram Money Fund-Institutional Plan-Weekly Dividend Reinvestment</v>
          </cell>
        </row>
        <row r="138">
          <cell r="V138" t="str">
            <v>Sundaram Monthly Income Plan - Aggressive Plan - Bonus Option</v>
          </cell>
        </row>
        <row r="139">
          <cell r="V139" t="str">
            <v>Sundaram Monthly Income Plan - Aggressive Plan - Direct Plan - Bonus  Option</v>
          </cell>
        </row>
        <row r="140">
          <cell r="V140" t="str">
            <v>Sundaram Monthly Income Plan - Aggressive Plan - Direct Plan - Growth Option</v>
          </cell>
        </row>
        <row r="141">
          <cell r="V141" t="str">
            <v>Sundaram Monthly Income Plan - Aggressive Plan - Direct Plan - Half Yearly Dividend Option</v>
          </cell>
        </row>
        <row r="142">
          <cell r="V142" t="str">
            <v>Sundaram Monthly Income Plan - Aggressive Plan - Direct Plan - Monthly Dividend Option</v>
          </cell>
        </row>
        <row r="143">
          <cell r="V143" t="str">
            <v>Sundaram Monthly Income Plan - Aggressive Plan - Direct Plan - Quarterly Dividend Option</v>
          </cell>
        </row>
        <row r="144">
          <cell r="V144" t="str">
            <v>Sundaram Monthly Income Plan - Conservative Plan - Bonus Option</v>
          </cell>
        </row>
        <row r="145">
          <cell r="V145" t="str">
            <v>Sundaram Monthly Income Plan - Conservative Plan - Direct Plan - Bonus  Option</v>
          </cell>
        </row>
        <row r="146">
          <cell r="V146" t="str">
            <v>Sundaram Monthly Income Plan - Conservative Plan - Direct Plan - Growth Option</v>
          </cell>
        </row>
        <row r="147">
          <cell r="V147" t="str">
            <v>Sundaram Monthly Income Plan - Conservative Plan - Direct Plan - Half Yearly Dividend Option</v>
          </cell>
        </row>
        <row r="148">
          <cell r="V148" t="str">
            <v>Sundaram Monthly Income Plan - Conservative Plan - Direct Plan - Monthly Dividend Option</v>
          </cell>
        </row>
        <row r="149">
          <cell r="V149" t="str">
            <v>Sundaram Monthly Income Plan - Conservative Plan - Direct Plan - Quarterly Dividend Option</v>
          </cell>
        </row>
        <row r="150">
          <cell r="V150" t="str">
            <v>Sundaram Monthly Income Plan - Moderate Plan - Bonus Option</v>
          </cell>
        </row>
        <row r="151">
          <cell r="V151" t="str">
            <v>Sundaram Monthly Income Plan - Moderate Plan - Direct Plan - Bonus  Option</v>
          </cell>
        </row>
        <row r="152">
          <cell r="V152" t="str">
            <v>Sundaram Monthly Income Plan - Moderate Plan - Direct Plan - Growth Option</v>
          </cell>
        </row>
        <row r="153">
          <cell r="V153" t="str">
            <v>Sundaram Monthly Income Plan - Moderate Plan - Direct Plan - Half Yearly Dividend Option</v>
          </cell>
        </row>
        <row r="154">
          <cell r="V154" t="str">
            <v>Sundaram Monthly Income Plan - Moderate Plan - Direct Plan - Monthly Dividend Option</v>
          </cell>
        </row>
        <row r="155">
          <cell r="V155" t="str">
            <v>Sundaram Monthly Income Plan - Moderate Plan - Direct Plan - Quarterly Dividend Option</v>
          </cell>
        </row>
        <row r="156">
          <cell r="V156" t="str">
            <v>Sundaram Monthly Income Plan AGGRESSIVE - DIVDEND</v>
          </cell>
        </row>
        <row r="157">
          <cell r="V157" t="str">
            <v>Sundaram Monthly Income Plan AGGRESSIVE - GROWTH</v>
          </cell>
        </row>
        <row r="158">
          <cell r="V158" t="str">
            <v>Sundaram Monthly Income Plan AGGRESSIVE - Half-yearly Dividend</v>
          </cell>
        </row>
        <row r="159">
          <cell r="V159" t="str">
            <v>Sundaram Monthly Income Plan AGGRESSIVE - Quarterly Dividend</v>
          </cell>
        </row>
        <row r="160">
          <cell r="V160" t="str">
            <v>Sundaram Monthly Income Plan-Conservative - DIVIDEND</v>
          </cell>
        </row>
        <row r="161">
          <cell r="V161" t="str">
            <v>Sundaram Monthly Income Plan-Conservative - GROWTH</v>
          </cell>
        </row>
        <row r="162">
          <cell r="V162" t="str">
            <v>Sundaram Monthly Income Plan-Conservative - Half-yearly Dividend</v>
          </cell>
        </row>
        <row r="163">
          <cell r="V163" t="str">
            <v>Sundaram Monthly Income Plan-Conservative - Quarterly Dividend</v>
          </cell>
        </row>
        <row r="164">
          <cell r="V164" t="str">
            <v>Sundaram Monthly Income Plan-Growth</v>
          </cell>
        </row>
        <row r="165">
          <cell r="V165" t="str">
            <v>Sundaram Monthly Income Plan-Half-yearly Dividend</v>
          </cell>
        </row>
        <row r="166">
          <cell r="V166" t="str">
            <v>Sundaram PSU Opportunities Dividend Option</v>
          </cell>
        </row>
        <row r="167">
          <cell r="V167" t="str">
            <v>Sundaram PSU Opportunities Growth Option</v>
          </cell>
        </row>
        <row r="168">
          <cell r="V168" t="str">
            <v>Sundaram Rural India Fund Dividend</v>
          </cell>
        </row>
        <row r="169">
          <cell r="V169" t="str">
            <v>Sundaram Rural India Fund Growth</v>
          </cell>
        </row>
        <row r="170">
          <cell r="V170" t="str">
            <v>Sundaram Rural India Fund Inst Dividend</v>
          </cell>
        </row>
        <row r="171">
          <cell r="V171" t="str">
            <v>Sundaram S.M.I.L.E Fund - Direct Plan - Dividend Option</v>
          </cell>
        </row>
        <row r="172">
          <cell r="V172" t="str">
            <v>Sundaram S.M.I.L.E Fund - Direct Plan - Growth Option</v>
          </cell>
        </row>
        <row r="173">
          <cell r="V173" t="str">
            <v>Sundaram S.M.I.L.E.Fund-Dividend</v>
          </cell>
        </row>
        <row r="174">
          <cell r="V174" t="str">
            <v>Sundaram S.M.I.L.E.Fund-Growth</v>
          </cell>
        </row>
        <row r="175">
          <cell r="V175" t="str">
            <v>Sundaram S.M.I.L.E.Fund-Inst Dividend</v>
          </cell>
        </row>
        <row r="176">
          <cell r="V176" t="str">
            <v>Sundaram S.M.I.L.E.Fund-iNST Growth</v>
          </cell>
        </row>
        <row r="177">
          <cell r="V177" t="str">
            <v>Sundaram Select  Debt-Dynamic Asset Plan-Half-yearly Dividend</v>
          </cell>
        </row>
        <row r="178">
          <cell r="V178" t="str">
            <v>Sundaram Select  Debt-Short-term Asset Plan-Annual Div</v>
          </cell>
        </row>
        <row r="179">
          <cell r="V179" t="str">
            <v>Sundaram Select  Debt-Short-term Asset Plan-Appreciation Option</v>
          </cell>
        </row>
        <row r="180">
          <cell r="V180" t="str">
            <v>Sundaram Select  Debt-Short-term Asset Plan-Fortnighty Dividend Reinvst</v>
          </cell>
        </row>
        <row r="181">
          <cell r="V181" t="str">
            <v>Sundaram Select  Debt-Short-term Asset Plan-Half-Yearly Div</v>
          </cell>
        </row>
        <row r="182">
          <cell r="V182" t="str">
            <v>Sundaram Select  Debt-Short-term Asset Plan-Monthly Dividend</v>
          </cell>
        </row>
        <row r="183">
          <cell r="V183" t="str">
            <v>Sundaram Select  Debt-Short-term Asset Plan-Quarterly Div</v>
          </cell>
        </row>
        <row r="184">
          <cell r="V184" t="str">
            <v>Sundaram Select  Debt-Short-term Asset Plan-Weekly Dividend</v>
          </cell>
        </row>
        <row r="185">
          <cell r="V185" t="str">
            <v>Sundaram Select Debt Short Term Asset Plan - Bonus Option</v>
          </cell>
        </row>
        <row r="186">
          <cell r="V186" t="str">
            <v>Sundaram Select Debt Short Term Asset Plan - Direct Plan - Annual Dividend Option</v>
          </cell>
        </row>
        <row r="187">
          <cell r="V187" t="str">
            <v>Sundaram Select Debt Short Term Asset Plan - Direct Plan - Bonus Option</v>
          </cell>
        </row>
        <row r="188">
          <cell r="V188" t="str">
            <v>Sundaram Select Debt Short Term Asset Plan - Direct Plan - Fortnightly Dividend Option</v>
          </cell>
        </row>
        <row r="189">
          <cell r="V189" t="str">
            <v>Sundaram Select Debt Short Term Asset Plan - Direct Plan - Growth Option</v>
          </cell>
        </row>
        <row r="190">
          <cell r="V190" t="str">
            <v>Sundaram Select Debt Short Term Asset Plan - Direct Plan - Half Yearly Dividend Option</v>
          </cell>
        </row>
        <row r="191">
          <cell r="V191" t="str">
            <v>Sundaram Select Debt Short Term Asset Plan - Direct Plan - Monthly Dividend Option</v>
          </cell>
        </row>
        <row r="192">
          <cell r="V192" t="str">
            <v>Sundaram Select Debt Short Term Asset Plan - Direct Plan - Quarterly Dividend Option</v>
          </cell>
        </row>
        <row r="193">
          <cell r="V193" t="str">
            <v>Sundaram Select Debt Short Term Asset Plan - Direct Plan - Weekly Dividend Option</v>
          </cell>
        </row>
        <row r="194">
          <cell r="V194" t="str">
            <v>Sundaram Select Focus - Direct Plan - Dividend Option</v>
          </cell>
        </row>
        <row r="195">
          <cell r="V195" t="str">
            <v>Sundaram Select Focus - Direct Plan - Growth Option</v>
          </cell>
        </row>
        <row r="196">
          <cell r="V196" t="str">
            <v>Sundaram Select Focus-Dividend</v>
          </cell>
        </row>
        <row r="197">
          <cell r="V197" t="str">
            <v>Sundaram Select Focus-Growth</v>
          </cell>
        </row>
        <row r="198">
          <cell r="V198" t="str">
            <v>Sundaram Select Focus-Inst Dividend</v>
          </cell>
        </row>
        <row r="199">
          <cell r="V199" t="str">
            <v>Sundaram Select Focus-Inst Growth</v>
          </cell>
        </row>
        <row r="200">
          <cell r="V200" t="str">
            <v>Sundaram Select Mid Cap - Direct Plan - Dividend Option</v>
          </cell>
        </row>
        <row r="201">
          <cell r="V201" t="str">
            <v>Sundaram Select Mid Cap - Direct Plan - Growth Option</v>
          </cell>
        </row>
        <row r="202">
          <cell r="V202" t="str">
            <v>Sundaram Select Midcap-Dividend</v>
          </cell>
        </row>
        <row r="203">
          <cell r="V203" t="str">
            <v>Sundaram Select Midcap-Growth</v>
          </cell>
        </row>
        <row r="204">
          <cell r="V204" t="str">
            <v>Sundaram Select Midcap-Institutional Dividend</v>
          </cell>
        </row>
        <row r="205">
          <cell r="V205" t="str">
            <v>Sundaram Select Midcap-Institutional Growth</v>
          </cell>
        </row>
        <row r="206">
          <cell r="V206" t="str">
            <v>Sundaram Select Thematic Funds Capex Opportunities - Direct Plan - Dividend Option</v>
          </cell>
        </row>
        <row r="207">
          <cell r="V207" t="str">
            <v>Sundaram Select Thematic Funds Capex Opportunities -Direct Plan - Growth Option</v>
          </cell>
        </row>
        <row r="208">
          <cell r="V208" t="str">
            <v>Sundaram Select Thematic Funds Energy Opportunities - Direct Plan - Dividend Option</v>
          </cell>
        </row>
        <row r="209">
          <cell r="V209" t="str">
            <v>Sundaram Select Thematic Funds Energy Opportunities -Direct Plan - Growth Option</v>
          </cell>
        </row>
        <row r="210">
          <cell r="V210" t="str">
            <v>Sundaram Select Thematic Funds PSU Opportunities - Direct Plan - Dividend Option</v>
          </cell>
        </row>
        <row r="211">
          <cell r="V211" t="str">
            <v>Sundaram Select Thematic Funds PSU Opportunities -Direct Plan - Growth Option</v>
          </cell>
        </row>
        <row r="212">
          <cell r="V212" t="str">
            <v>Sundaram Select Thematic Funds Rural India Fund - Direct Plan - Dividend Option</v>
          </cell>
        </row>
        <row r="213">
          <cell r="V213" t="str">
            <v>Sundaram Select Thematic Funds Rural India Fund - Direct Plan - Growth Option</v>
          </cell>
        </row>
        <row r="214">
          <cell r="V214" t="str">
            <v>Sundaram Tax Saver - Direct Plan - Dividend Option</v>
          </cell>
        </row>
        <row r="215">
          <cell r="V215" t="str">
            <v>Sundaram Tax Saver - Direct Plan - Growth Option</v>
          </cell>
        </row>
        <row r="216">
          <cell r="V216" t="str">
            <v>Sundaram Tax Saver OE - Dividend</v>
          </cell>
        </row>
        <row r="217">
          <cell r="V217" t="str">
            <v>Sundaram Taxsaver OE- App</v>
          </cell>
        </row>
        <row r="218">
          <cell r="V218" t="str">
            <v>Sundaram Ultra Short - Term Fund -  Bonus Option</v>
          </cell>
        </row>
        <row r="219">
          <cell r="V219" t="str">
            <v>Sundaram Ultra Short - Term Fund - Direct Plan - Bonus Option</v>
          </cell>
        </row>
        <row r="220">
          <cell r="V220" t="str">
            <v>Sundaram Ultra Short - Term Fund - Direct Plan - Daily Dividend Reinvestment Option</v>
          </cell>
        </row>
        <row r="221">
          <cell r="V221" t="str">
            <v>Sundaram Ultra Short - Term Fund - Direct Plan - Fortnightly Dividend Option</v>
          </cell>
        </row>
        <row r="222">
          <cell r="V222" t="str">
            <v>Sundaram Ultra Short - Term Fund - Direct Plan - Growth Option</v>
          </cell>
        </row>
        <row r="223">
          <cell r="V223" t="str">
            <v>Sundaram Ultra Short - Term Fund - Direct Plan - Monthly Dividend Option</v>
          </cell>
        </row>
        <row r="224">
          <cell r="V224" t="str">
            <v>Sundaram Ultra Short - Term Fund - Direct Plan - Quarterly Dividend Option</v>
          </cell>
        </row>
        <row r="225">
          <cell r="V225" t="str">
            <v>Sundaram Ultra Short - Term Fund - Direct Plan - Weekly Dividend Option</v>
          </cell>
        </row>
        <row r="226">
          <cell r="V226" t="str">
            <v>Sundaram Ultra Short Term  Inst Daily Dividend</v>
          </cell>
        </row>
        <row r="227">
          <cell r="V227" t="str">
            <v>Sundaram Ultra Short Term  Inst Fortnightly  Dividend</v>
          </cell>
        </row>
        <row r="228">
          <cell r="V228" t="str">
            <v>Sundaram Ultra Short Term  Inst Growth</v>
          </cell>
        </row>
        <row r="229">
          <cell r="V229" t="str">
            <v>Sundaram Ultra Short Term  Inst Monthly  Dividend</v>
          </cell>
        </row>
        <row r="230">
          <cell r="V230" t="str">
            <v>Sundaram Ultra short Term  Inst Qtrly   Dividend</v>
          </cell>
        </row>
        <row r="231">
          <cell r="V231" t="str">
            <v>Sundaram Ultra Short Term  Inst Weekly  Dividend</v>
          </cell>
        </row>
        <row r="232">
          <cell r="V232" t="str">
            <v>Sundaram Ultra Short Term Regular Daily Dividend (Formerly Super Institutional Plan)</v>
          </cell>
        </row>
        <row r="233">
          <cell r="V233" t="str">
            <v>Sundaram Ultra Short Term Regular Fortnightly Dividend (Formerly Super Institutional Plan)</v>
          </cell>
        </row>
        <row r="234">
          <cell r="V234" t="str">
            <v>Sundaram Ultra Short Term Regular Growth (Formerly Super Institutional Plan)</v>
          </cell>
        </row>
        <row r="235">
          <cell r="V235" t="str">
            <v>Sundaram Ultra Short Term Regular Monthly Dividend (Formerly Super Institutional Plan)</v>
          </cell>
        </row>
        <row r="236">
          <cell r="V236" t="str">
            <v>Sundaram Ultra Short Term Regular Qtrly Dividend (Formerly Super Institutional Plan)</v>
          </cell>
        </row>
        <row r="237">
          <cell r="V237" t="str">
            <v>Sundaram Ultra Short Term Regular Weekly Dividend (Formerly Super Institutional Plan)</v>
          </cell>
        </row>
        <row r="238">
          <cell r="V238" t="str">
            <v>Sundaram Ultra Short Term Retail Daily Dividend</v>
          </cell>
        </row>
        <row r="239">
          <cell r="V239" t="str">
            <v>Sundaram Ultra Short Term Retail fortnightly Dividend</v>
          </cell>
        </row>
        <row r="240">
          <cell r="V240" t="str">
            <v>Sundaram Ultra Short Term Retail Growth</v>
          </cell>
        </row>
        <row r="241">
          <cell r="V241" t="str">
            <v>Sundaram Ultra Short Term Retail Monthly Dividend</v>
          </cell>
        </row>
        <row r="242">
          <cell r="V242" t="str">
            <v>Sundaram Ultra Short Term Retail Quarterly Dividend</v>
          </cell>
        </row>
        <row r="243">
          <cell r="V243" t="str">
            <v>Sundaram Ultra Short Term Retail Weekly Dividend</v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vestment reqd. for retirement"/>
      <sheetName val="Investment req. for other goals"/>
    </sheetNames>
    <sheetDataSet>
      <sheetData sheetId="0">
        <row r="1">
          <cell r="K1">
            <v>652.13403512150387</v>
          </cell>
        </row>
        <row r="2">
          <cell r="K2">
            <v>325.08890831677013</v>
          </cell>
        </row>
        <row r="3">
          <cell r="K3">
            <v>41.996393991974855</v>
          </cell>
        </row>
        <row r="11">
          <cell r="B11">
            <v>0.3</v>
          </cell>
        </row>
        <row r="23">
          <cell r="E23">
            <v>81671450.07238096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vestment reqd. for retirement"/>
      <sheetName val="Investment req. for other goals"/>
    </sheetNames>
    <sheetDataSet>
      <sheetData sheetId="0">
        <row r="1">
          <cell r="K1">
            <v>652.13403512150387</v>
          </cell>
        </row>
        <row r="2">
          <cell r="K2">
            <v>325.08890831677013</v>
          </cell>
        </row>
        <row r="3">
          <cell r="K3">
            <v>41.996393991974855</v>
          </cell>
        </row>
        <row r="11">
          <cell r="B11">
            <v>0.3</v>
          </cell>
        </row>
        <row r="22">
          <cell r="B22">
            <v>190294.15229205307</v>
          </cell>
        </row>
        <row r="23">
          <cell r="E23">
            <v>81671450.07238096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tirement"/>
      <sheetName val="Other goals"/>
      <sheetName val="_SSC"/>
      <sheetName val="summary"/>
      <sheetName val="cashflow"/>
      <sheetName val="Graphs"/>
      <sheetName val="retirement-cashflow"/>
      <sheetName val="short-term"/>
    </sheetNames>
    <sheetDataSet>
      <sheetData sheetId="0" refreshError="1"/>
      <sheetData sheetId="1">
        <row r="2">
          <cell r="B2">
            <v>12</v>
          </cell>
          <cell r="D2">
            <v>14</v>
          </cell>
          <cell r="F2">
            <v>20</v>
          </cell>
          <cell r="H2">
            <v>22</v>
          </cell>
          <cell r="J2">
            <v>6</v>
          </cell>
        </row>
        <row r="6">
          <cell r="B6">
            <v>7846070.9418025063</v>
          </cell>
          <cell r="D6">
            <v>9493745.8395810351</v>
          </cell>
          <cell r="F6">
            <v>6727499.949325609</v>
          </cell>
          <cell r="H6">
            <v>814027.49386839895</v>
          </cell>
          <cell r="J6">
            <v>1771561.0000000009</v>
          </cell>
        </row>
      </sheetData>
      <sheetData sheetId="2" refreshError="1"/>
      <sheetData sheetId="3">
        <row r="12">
          <cell r="B12">
            <v>0.1</v>
          </cell>
        </row>
        <row r="13">
          <cell r="B13">
            <v>0.1</v>
          </cell>
        </row>
        <row r="15">
          <cell r="D15">
            <v>5</v>
          </cell>
        </row>
        <row r="16">
          <cell r="D16">
            <v>10</v>
          </cell>
        </row>
      </sheetData>
      <sheetData sheetId="4">
        <row r="1">
          <cell r="L1">
            <v>35491.710246230505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E"/>
      <sheetName val="Manual Entry"/>
      <sheetName val="Summary"/>
      <sheetName val="Goal Tracker"/>
      <sheetName val="abcd-abcd"/>
      <sheetName val="HDFC-prudence-dir"/>
      <sheetName val="HDFC-prudence-reg"/>
      <sheetName val="HDFC-top-200-dir"/>
      <sheetName val="HDFC-top-200-reg"/>
      <sheetName val="Can-rob-elss"/>
      <sheetName val="SBI-taxgain"/>
      <sheetName val="HDFC-Equity-Dir"/>
      <sheetName val="HDFC-Balanced-Reg"/>
      <sheetName val="HDFC-Equity-Reg"/>
      <sheetName val="HDFC-Balanced-Dir"/>
      <sheetName val="DSP-top-100-dir"/>
      <sheetName val="DSP-top-100-reg"/>
      <sheetName val="QLTE"/>
      <sheetName val="FIBCF-regular"/>
      <sheetName val="FIBCF-direct"/>
      <sheetName val="LS-FT India Feeder - Franklin U"/>
      <sheetName val="LS-PPFAS Long Term Value Fund -"/>
      <sheetName val="LS"/>
      <sheetName val="lsnet"/>
      <sheetName val="lscal"/>
      <sheetName val="Account Statement"/>
      <sheetName val="NAV AMFI"/>
      <sheetName val="Fund"/>
      <sheetName val="SheetList"/>
      <sheetName val="NAVLS"/>
    </sheetNames>
    <sheetDataSet>
      <sheetData sheetId="0"/>
      <sheetData sheetId="1">
        <row r="2">
          <cell r="Z2" t="str">
            <v>Canara Robeco Balance - Direct Plan - Growth</v>
          </cell>
        </row>
        <row r="3">
          <cell r="Z3" t="str">
            <v>Canara Robeco Balance - Direct Plan - Quarterly Dividend</v>
          </cell>
        </row>
        <row r="4">
          <cell r="Z4" t="str">
            <v>Canara Robeco Balance - Regular Plan - Growth</v>
          </cell>
        </row>
        <row r="5">
          <cell r="Z5" t="str">
            <v>Canara Robeco Balance - Regular Plan - Quarterly Dividend</v>
          </cell>
        </row>
        <row r="6">
          <cell r="Z6" t="str">
            <v>Canara Robeco Dynamic Bond Fund - Direct Plan - Dividend Option</v>
          </cell>
        </row>
        <row r="7">
          <cell r="Z7" t="str">
            <v>Canara Robeco Dynamic Bond Fund - Direct Plan - Growth</v>
          </cell>
        </row>
        <row r="8">
          <cell r="Z8" t="str">
            <v>Canara Robeco Dynamic Bond Fund - Regular Plan - Dividend</v>
          </cell>
        </row>
        <row r="9">
          <cell r="Z9" t="str">
            <v>Canara Robeco Dynamic Bond Fund - Regular Plan - Growth</v>
          </cell>
        </row>
        <row r="10">
          <cell r="Z10" t="str">
            <v>Canara Robeco Emerging Equities - Regular Plan - GROWTH</v>
          </cell>
        </row>
        <row r="11">
          <cell r="Z11" t="str">
            <v>Canara Robeco Emerging Equities-BONUS OPTION</v>
          </cell>
        </row>
        <row r="12">
          <cell r="Z12" t="str">
            <v>Canara Robeco Emerging Equities-Direct Plan-Dividend Option</v>
          </cell>
        </row>
        <row r="13">
          <cell r="Z13" t="str">
            <v>Canara Robeco Emerging Equities-Direct Plan-Growth Option</v>
          </cell>
        </row>
        <row r="14">
          <cell r="Z14" t="str">
            <v>Canara Robeco Emerging Equities-Regular Plan - DIVIDEND</v>
          </cell>
        </row>
        <row r="15">
          <cell r="Z15" t="str">
            <v>Canara Robeco Equity Diversified - Regular Plan - Dividend</v>
          </cell>
        </row>
        <row r="16">
          <cell r="Z16" t="str">
            <v>Canara Robeco Equity Diversified - Regular Plan - Growth</v>
          </cell>
        </row>
        <row r="17">
          <cell r="Z17" t="str">
            <v>Canara Robeco Equity Diversified-Bonus Option</v>
          </cell>
        </row>
        <row r="18">
          <cell r="Z18" t="str">
            <v>Canara Robeco Equity Diversified-Direct Plan -Growth Option</v>
          </cell>
        </row>
        <row r="19">
          <cell r="Z19" t="str">
            <v>Canara Robeco Equity Diversified-Direct Plan-Dividend Option</v>
          </cell>
        </row>
        <row r="20">
          <cell r="Z20" t="str">
            <v>Canara Robeco Equity Taxsaver - Direct Plan - Dividend Option</v>
          </cell>
        </row>
        <row r="21">
          <cell r="Z21" t="str">
            <v>Canara Robeco Equity Taxsaver - Direct Plan - Growth Option</v>
          </cell>
        </row>
        <row r="22">
          <cell r="Z22" t="str">
            <v>Canara Robeco Equity Taxsaver - Regular Plan - Dividend</v>
          </cell>
        </row>
        <row r="23">
          <cell r="Z23" t="str">
            <v>Canara Robeco Equity Taxsaver - Regular Plan - Growth</v>
          </cell>
        </row>
        <row r="24">
          <cell r="Z24" t="str">
            <v>Canara Robeco F.O.R.C.E Fund - Direct Plan - Dividend</v>
          </cell>
        </row>
        <row r="25">
          <cell r="Z25" t="str">
            <v>Canara Robeco F.O.R.C.E Fund - Direct Plan - Growth</v>
          </cell>
        </row>
        <row r="26">
          <cell r="Z26" t="str">
            <v>Canara Robeco F.O.R.C.E Fund - Institutional Plan - Growth Option</v>
          </cell>
        </row>
        <row r="27">
          <cell r="Z27" t="str">
            <v>Canara Robeco F.O.R.C.E Fund - Regular Plan - Dividend Option</v>
          </cell>
        </row>
        <row r="28">
          <cell r="Z28" t="str">
            <v>Canara Robeco F.O.R.C.E Fund - Regular Plan - Growth Option</v>
          </cell>
        </row>
        <row r="29">
          <cell r="Z29" t="str">
            <v>Canara Robeco Floating Rate - Regular Plan - DAILY DIVIDEND REINVESTMENT</v>
          </cell>
        </row>
        <row r="30">
          <cell r="Z30" t="str">
            <v>Canara Robeco Floating Rate - Regular Plan - MONTHLY DIVIDEND</v>
          </cell>
        </row>
        <row r="31">
          <cell r="Z31" t="str">
            <v>Canara Robeco Floating Rate - Regular Plan - Weekly Dividend</v>
          </cell>
        </row>
        <row r="32">
          <cell r="Z32" t="str">
            <v>Canara Robeco Floating Rate- Direct Plan - Daily Dividend Reinvestment</v>
          </cell>
        </row>
        <row r="33">
          <cell r="Z33" t="str">
            <v>Canara Robeco Floating Rate- Direct Plan - Weekly Dividend Option</v>
          </cell>
        </row>
        <row r="34">
          <cell r="Z34" t="str">
            <v>Canara Robeco Floating Rate- Regular Plan - DIVIDEND</v>
          </cell>
        </row>
        <row r="35">
          <cell r="Z35" t="str">
            <v>Canara Robeco Floating Rate- Regular Plan - GROWTH</v>
          </cell>
        </row>
        <row r="36">
          <cell r="Z36" t="str">
            <v>Canara Robeco Floating Rate-Direct Plan - Dividend Option</v>
          </cell>
        </row>
        <row r="37">
          <cell r="Z37" t="str">
            <v>Canara Robeco Floating Rate-Direct Plan - Growth Option</v>
          </cell>
        </row>
        <row r="38">
          <cell r="Z38" t="str">
            <v>Canara Robeco Floating Rate-Direct Plan - Monthly Dividend Option</v>
          </cell>
        </row>
        <row r="39">
          <cell r="Z39" t="str">
            <v>Canara Robeco Floating Rate-FORTNIGHTLY DIVIDEND REINVESTMENT</v>
          </cell>
        </row>
        <row r="40">
          <cell r="Z40" t="str">
            <v>Canara Robeco Gilt Advantage Fund - Direct Plan - Dividend Option</v>
          </cell>
        </row>
        <row r="41">
          <cell r="Z41" t="str">
            <v>Canara Robeco Gilt Advantage Fund - Direct Plan - Growth Option</v>
          </cell>
        </row>
        <row r="42">
          <cell r="Z42" t="str">
            <v>Canara Robeco Gilt Advantage Fund - Regular Plan - Dividend</v>
          </cell>
        </row>
        <row r="43">
          <cell r="Z43" t="str">
            <v>Canara Robeco Gilt Advantage Fund - Regular Plan - Growth</v>
          </cell>
        </row>
        <row r="44">
          <cell r="Z44" t="str">
            <v>Canara Robeco Gilt PGS - Regular Plan - Dividend</v>
          </cell>
        </row>
        <row r="45">
          <cell r="Z45" t="str">
            <v>Canara Robeco Gilt PGS - Regular Plan - Growth</v>
          </cell>
        </row>
        <row r="46">
          <cell r="Z46" t="str">
            <v>Canara Robeco Gilt PGS-Direct Plan - Dividend Option</v>
          </cell>
        </row>
        <row r="47">
          <cell r="Z47" t="str">
            <v>Canara Robeco Gilt PGS-Direct Plan - Growth option</v>
          </cell>
        </row>
        <row r="48">
          <cell r="Z48" t="str">
            <v>Canara Robeco Gold Exchange Traded Fund</v>
          </cell>
        </row>
        <row r="49">
          <cell r="Z49" t="str">
            <v>Canara Robeco Gold Savings Fund - Direct Plan - Dividend Option</v>
          </cell>
        </row>
        <row r="50">
          <cell r="Z50" t="str">
            <v>Canara Robeco Gold Savings Fund - Direct Plan - Growth Option</v>
          </cell>
        </row>
        <row r="51">
          <cell r="Z51" t="str">
            <v>Canara Robeco Gold Savings Fund - Regular Plan - Dividend</v>
          </cell>
        </row>
        <row r="52">
          <cell r="Z52" t="str">
            <v>Canara Robeco Gold Savings Fund - Regular Plan - Growth</v>
          </cell>
        </row>
        <row r="53">
          <cell r="Z53" t="str">
            <v>Canara Robeco Income - Regular Plan - Growth</v>
          </cell>
        </row>
        <row r="54">
          <cell r="Z54" t="str">
            <v>Canara Robeco Income - Regular Plan - Quarterly Dividend</v>
          </cell>
        </row>
        <row r="55">
          <cell r="Z55" t="str">
            <v>Canara Robeco Income- Direct Plan - Quarterly Dividend</v>
          </cell>
        </row>
        <row r="56">
          <cell r="Z56" t="str">
            <v>Canara Robeco Income-Bonus option</v>
          </cell>
        </row>
        <row r="57">
          <cell r="Z57" t="str">
            <v>Canara Robeco Income-Direct Plan - Growth Option</v>
          </cell>
        </row>
        <row r="58">
          <cell r="Z58" t="str">
            <v>Canara Robeco InDiGo Fund - Direct Plan - Growth</v>
          </cell>
        </row>
        <row r="59">
          <cell r="Z59" t="str">
            <v>Canara Robeco InDiGo Fund - Direct Plan - Quarterly Dividend</v>
          </cell>
        </row>
        <row r="60">
          <cell r="Z60" t="str">
            <v>Canara Robeco InDiGo Fund - Regular Plan - Growth</v>
          </cell>
        </row>
        <row r="61">
          <cell r="Z61" t="str">
            <v>Canara Robeco InDiGo Fund - Regular Plan - Quarterly Dividend</v>
          </cell>
        </row>
        <row r="62">
          <cell r="Z62" t="str">
            <v>Canara Robeco Infrastructure - Regular Plan - DIVIDEND</v>
          </cell>
        </row>
        <row r="63">
          <cell r="Z63" t="str">
            <v>Canara Robeco Infrastructure - Regular Plan - GROWTH</v>
          </cell>
        </row>
        <row r="64">
          <cell r="Z64" t="str">
            <v>Canara Robeco Infrastructure-Direct Plan - Dividend</v>
          </cell>
        </row>
        <row r="65">
          <cell r="Z65" t="str">
            <v>Canara Robeco Infrastructure-Direct Plan - Growth</v>
          </cell>
        </row>
        <row r="66">
          <cell r="Z66" t="str">
            <v>Canara Robeco Interval Scheme Series2 (Quarterly Plan2) - Regular Plan - Dividend Option</v>
          </cell>
        </row>
        <row r="67">
          <cell r="Z67" t="str">
            <v>Canara Robeco Interval Scheme Series2 (Quarterly Plan2) - Regular Plan - Growth Option</v>
          </cell>
        </row>
        <row r="68">
          <cell r="Z68" t="str">
            <v>Canara Robeco Interval Scheme Series2 (Quarterly Plan2) - Retail Plan - Dividend Option</v>
          </cell>
        </row>
        <row r="69">
          <cell r="Z69" t="str">
            <v>Canara Robeco Interval Scheme Series2 (Quarterly Plan2) - Retail Plan - Growth Option</v>
          </cell>
        </row>
        <row r="70">
          <cell r="Z70" t="str">
            <v>Canara Robeco Large Cap+ Fund - Direct Plan - Dividend</v>
          </cell>
        </row>
        <row r="71">
          <cell r="Z71" t="str">
            <v>Canara Robeco Large Cap+ Fund - Direct Plan - Growth</v>
          </cell>
        </row>
        <row r="72">
          <cell r="Z72" t="str">
            <v>Canara Robeco Large Cap+ Fund - Regular Plan - Dividend</v>
          </cell>
        </row>
        <row r="73">
          <cell r="Z73" t="str">
            <v>Canara Robeco Large Cap+ Fund - Regular Plan - Growth</v>
          </cell>
        </row>
        <row r="74">
          <cell r="Z74" t="str">
            <v>Canara Robeco Liquid- Direct Plan-Growth</v>
          </cell>
        </row>
        <row r="75">
          <cell r="Z75" t="str">
            <v>Canara Robeco Liquid- Direct Plan-Weekly dividend</v>
          </cell>
        </row>
        <row r="76">
          <cell r="Z76" t="str">
            <v>Canara Robeco Liquid- INSTITUTIONAL-Daily Dividend Reinvestment</v>
          </cell>
        </row>
        <row r="77">
          <cell r="Z77" t="str">
            <v>Canara Robeco Liquid- INSTITUTIONAL-Growth</v>
          </cell>
        </row>
        <row r="78">
          <cell r="Z78" t="str">
            <v>Canara Robeco Liquid- INSTITUTIONAL-Weekly dividend</v>
          </cell>
        </row>
        <row r="79">
          <cell r="Z79" t="str">
            <v>Canara Robeco Liquid-Direct Plan-Daily Dividend Reinvestment</v>
          </cell>
        </row>
        <row r="80">
          <cell r="Z80" t="str">
            <v>Canara Robeco Liquid-Direct Plan-Dividend Payout</v>
          </cell>
        </row>
        <row r="81">
          <cell r="Z81" t="str">
            <v>Canara Robeco Liquid-Direct Plan-Monthly Dividend</v>
          </cell>
        </row>
        <row r="82">
          <cell r="Z82" t="str">
            <v>Canara Robeco Liquid-Regular Plan-Daily Div Reinvest.</v>
          </cell>
        </row>
        <row r="83">
          <cell r="Z83" t="str">
            <v>Canara Robeco Liquid-Regular Plan-Fortnightly Div Reinvest.</v>
          </cell>
        </row>
        <row r="84">
          <cell r="Z84" t="str">
            <v>Canara Robeco Liquid-Regular Plan-Growth</v>
          </cell>
        </row>
        <row r="85">
          <cell r="Z85" t="str">
            <v>Canara Robeco Liquid-Regular Plan-Monthly Div Reinvest.</v>
          </cell>
        </row>
        <row r="86">
          <cell r="Z86" t="str">
            <v>Canara Robeco Liquid-Regular Plan-Weekly Div Reinvest.</v>
          </cell>
        </row>
        <row r="87">
          <cell r="Z87" t="str">
            <v>Canara Robeco Liquid-Retail-DRI</v>
          </cell>
        </row>
        <row r="88">
          <cell r="Z88" t="str">
            <v>Canara Robeco Liquid-Retail-Fortnightly Div Reinvest</v>
          </cell>
        </row>
        <row r="89">
          <cell r="Z89" t="str">
            <v>Canara Robeco Liquid-Retail-Growth</v>
          </cell>
        </row>
        <row r="90">
          <cell r="Z90" t="str">
            <v>Canara Robeco Liquid-Retail-Monthly Div Reinvest</v>
          </cell>
        </row>
        <row r="91">
          <cell r="Z91" t="str">
            <v>Canara Robeco Liquid-Retail-Weekly Div Reinvest</v>
          </cell>
        </row>
        <row r="92">
          <cell r="Z92" t="str">
            <v>Canara Robeco Monthly Income Plan - Direct Plan - Monthly Dividend Option</v>
          </cell>
        </row>
        <row r="93">
          <cell r="Z93" t="str">
            <v>Canara Robeco Monthly Income Plan - Direct Plan - Quarterly Dividend Option</v>
          </cell>
        </row>
        <row r="94">
          <cell r="Z94" t="str">
            <v>Canara Robeco Monthly Income Plan - Regular Plan - Growth</v>
          </cell>
        </row>
        <row r="95">
          <cell r="Z95" t="str">
            <v>Canara Robeco Monthly Income Plan - Regular Plan - Monthly Dividend</v>
          </cell>
        </row>
        <row r="96">
          <cell r="Z96" t="str">
            <v>Canara Robeco Monthly Income Plan - Regular Plan - Quarterly Dividend</v>
          </cell>
        </row>
        <row r="97">
          <cell r="Z97" t="str">
            <v>Canara Robeco Monthly Income Plan-Direct Plan - Growth Option</v>
          </cell>
        </row>
        <row r="98">
          <cell r="Z98" t="str">
            <v>Canara Robeco Nifty Index - Regular Plan - Dividend</v>
          </cell>
        </row>
        <row r="99">
          <cell r="Z99" t="str">
            <v>Canara Robeco Nifty Index - Regular Plan - Growth</v>
          </cell>
        </row>
        <row r="100">
          <cell r="Z100" t="str">
            <v>Canara Robeco Nifty Index-Direct Plan - Dividend</v>
          </cell>
        </row>
        <row r="101">
          <cell r="Z101" t="str">
            <v>Canara Robeco Nifty Index-Direct Plan - Growth</v>
          </cell>
        </row>
        <row r="102">
          <cell r="Z102" t="str">
            <v>Canara Robeco Short Term Fund- Direct Plan - Growth</v>
          </cell>
        </row>
        <row r="103">
          <cell r="Z103" t="str">
            <v>Canara Robeco Short Term Fund- Direct Plan - Monthly Dividend</v>
          </cell>
        </row>
        <row r="104">
          <cell r="Z104" t="str">
            <v>Canara Robeco Short Term Fund- Direct Plan - Weekly Dividend</v>
          </cell>
        </row>
        <row r="105">
          <cell r="Z105" t="str">
            <v>Canara Robeco Short Term Fund- Institutional Plan - Growth</v>
          </cell>
        </row>
        <row r="106">
          <cell r="Z106" t="str">
            <v>Canara Robeco Short Term Fund- Institutional Plan - Monthly Dividend</v>
          </cell>
        </row>
        <row r="107">
          <cell r="Z107" t="str">
            <v>Canara Robeco Short Term Fund- Institutional Plan - Weekly Dividend</v>
          </cell>
        </row>
        <row r="108">
          <cell r="Z108" t="str">
            <v>Canara Robeco Short Term Fund- Regular Plan - Growth</v>
          </cell>
        </row>
        <row r="109">
          <cell r="Z109" t="str">
            <v>Canara Robeco Short Term Fund- Regular Plan - Monthly Dividend</v>
          </cell>
        </row>
        <row r="110">
          <cell r="Z110" t="str">
            <v>Canara Robeco Short Term Fund- Regular Plan - Weekly Dividend</v>
          </cell>
        </row>
        <row r="111">
          <cell r="Z111" t="str">
            <v>Canara Robeco Treasury Advantage Fund - Direct Plan- Daily Dividend Reinvestment</v>
          </cell>
        </row>
        <row r="112">
          <cell r="Z112" t="str">
            <v>Canara Robeco Treasury Advantage Fund - Direct Plan- Dividend Payout</v>
          </cell>
        </row>
        <row r="113">
          <cell r="Z113" t="str">
            <v>Canara Robeco Treasury Advantage Fund - Direct Plan- Growth option</v>
          </cell>
        </row>
        <row r="114">
          <cell r="Z114" t="str">
            <v>Canara Robeco Treasury Advantage Fund - Direct Plan- Monthly Dividend</v>
          </cell>
        </row>
        <row r="115">
          <cell r="Z115" t="str">
            <v>Canara Robeco Treasury Advantage Fund - Direct Plan- Weekly Dividend</v>
          </cell>
        </row>
        <row r="116">
          <cell r="Z116" t="str">
            <v>Canara Robeco Treasury Advantage Fund - Institutional Plan- Daily Dividend Reinvestment Option</v>
          </cell>
        </row>
        <row r="117">
          <cell r="Z117" t="str">
            <v>Canara Robeco Treasury Advantage Fund - Institutional Plan- Growth option</v>
          </cell>
        </row>
        <row r="118">
          <cell r="Z118" t="str">
            <v>Canara Robeco Treasury Advantage Fund - Institutional Plan- Monthly Div Reinvest</v>
          </cell>
        </row>
        <row r="119">
          <cell r="Z119" t="str">
            <v>Canara Robeco Treasury Advantage Fund - Institutional Plan- Weekly Dividend Reinvestment option</v>
          </cell>
        </row>
        <row r="120">
          <cell r="Z120" t="str">
            <v>Canara Robeco Treasury Advantage Fund - Regular Plan - Growth</v>
          </cell>
        </row>
        <row r="121">
          <cell r="Z121" t="str">
            <v>Canara Robeco Treasury Advantage Fund - Regular Plan- Daily Div Reinvest</v>
          </cell>
        </row>
        <row r="122">
          <cell r="Z122" t="str">
            <v>Canara Robeco Treasury Advantage Fund - Regular Plan- Fortnightly Div Reinvest</v>
          </cell>
        </row>
        <row r="123">
          <cell r="Z123" t="str">
            <v>Canara Robeco Treasury Advantage Fund - Regular Plan- Monthly Dividend</v>
          </cell>
        </row>
        <row r="124">
          <cell r="Z124" t="str">
            <v>Canara Robeco Treasury Advantage Fund - Regular Plan- Weekly Div Reinvest</v>
          </cell>
        </row>
        <row r="125">
          <cell r="Z125" t="str">
            <v>Canara Robeco Treasury Advantage Fund - Retail Plan- Daily Dividend Reinvestment Option</v>
          </cell>
        </row>
        <row r="126">
          <cell r="Z126" t="str">
            <v>Canara Robeco Treasury Advantage Fund - Retail Plan- Fortnightly Div Reinvest</v>
          </cell>
        </row>
        <row r="127">
          <cell r="Z127" t="str">
            <v>Canara Robeco Treasury Advantage Fund - Retail Plan- Growth Option</v>
          </cell>
        </row>
        <row r="128">
          <cell r="Z128" t="str">
            <v>Canara Robeco Treasury Advantage Fund - Retail Plan- Income option</v>
          </cell>
        </row>
        <row r="129">
          <cell r="Z129" t="str">
            <v>Canara Robeco Treasury Advantage Fund - Retail Plan- Monthly Div Reinvest</v>
          </cell>
        </row>
        <row r="130">
          <cell r="Z130" t="str">
            <v>Canara Robeco Treasury Advantage Fund - Retail Plan- Weekly Div Reinvest</v>
          </cell>
        </row>
        <row r="131">
          <cell r="Z131" t="str">
            <v>Canara Robeco Yield Advantage Fund - Direct Plan - Growth</v>
          </cell>
        </row>
        <row r="132">
          <cell r="Z132" t="str">
            <v>Canara Robeco Yield Advantage Fund - Direct Plan - Monthly Dividend</v>
          </cell>
        </row>
        <row r="133">
          <cell r="Z133" t="str">
            <v>Canara Robeco Yield Advantage Fund - Direct Plan - Quarterly Dividend</v>
          </cell>
        </row>
        <row r="134">
          <cell r="Z134" t="str">
            <v>Canara Robeco Yield Advantage Fund - Regular Plan - Growth</v>
          </cell>
        </row>
        <row r="135">
          <cell r="Z135" t="str">
            <v>Canara Robeco Yield Advantage Fund - Regular Plan - Monthly Dividend</v>
          </cell>
        </row>
        <row r="136">
          <cell r="Z136" t="str">
            <v>Canara Robeco Yield Advantage Fund - Regular Plan - Quarterly Dividend</v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reefincal.com/the-even-lower-stress-retirement-calculato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9"/>
  <sheetViews>
    <sheetView tabSelected="1" zoomScale="175" zoomScaleNormal="175" workbookViewId="0">
      <selection activeCell="A4" sqref="A4:B12"/>
    </sheetView>
  </sheetViews>
  <sheetFormatPr defaultRowHeight="14.4"/>
  <cols>
    <col min="1" max="1" width="49.44140625" customWidth="1"/>
    <col min="2" max="2" width="11" bestFit="1" customWidth="1"/>
    <col min="3" max="3" width="9.109375" style="82"/>
    <col min="5" max="5" width="11" bestFit="1" customWidth="1"/>
  </cols>
  <sheetData>
    <row r="1" spans="1:8" ht="15.6">
      <c r="A1" s="71" t="s">
        <v>9</v>
      </c>
      <c r="B1" s="72"/>
      <c r="C1" s="73"/>
      <c r="D1" s="100"/>
      <c r="E1" s="100"/>
      <c r="F1" s="100"/>
      <c r="G1" s="100"/>
      <c r="H1" s="100"/>
    </row>
    <row r="2" spans="1:8">
      <c r="A2" s="2" t="s">
        <v>34</v>
      </c>
      <c r="B2" s="84">
        <v>40000</v>
      </c>
      <c r="C2" s="74"/>
      <c r="D2" s="100"/>
      <c r="E2" s="100"/>
      <c r="F2" s="100"/>
      <c r="G2" s="100"/>
      <c r="H2" s="100"/>
    </row>
    <row r="3" spans="1:8">
      <c r="A3" s="2" t="s">
        <v>35</v>
      </c>
      <c r="B3" s="84">
        <v>40000</v>
      </c>
      <c r="C3" s="74"/>
      <c r="D3" s="100"/>
      <c r="E3" s="100"/>
      <c r="F3" s="100"/>
      <c r="G3" s="100"/>
      <c r="H3" s="100"/>
    </row>
    <row r="4" spans="1:8">
      <c r="A4" s="2" t="s">
        <v>19</v>
      </c>
      <c r="B4" s="10">
        <f>((12*B2)+B3)/12</f>
        <v>43333.333333333336</v>
      </c>
      <c r="C4" s="74"/>
      <c r="D4" s="100"/>
      <c r="E4" s="100"/>
      <c r="F4" s="100"/>
      <c r="G4" s="100"/>
      <c r="H4" s="100"/>
    </row>
    <row r="5" spans="1:8">
      <c r="A5" s="2" t="s">
        <v>18</v>
      </c>
      <c r="B5" s="7">
        <v>8</v>
      </c>
      <c r="C5" s="79"/>
      <c r="D5" s="100"/>
      <c r="E5" s="100"/>
      <c r="F5" s="100"/>
      <c r="G5" s="100"/>
      <c r="H5" s="100"/>
    </row>
    <row r="6" spans="1:8">
      <c r="A6" s="2" t="s">
        <v>17</v>
      </c>
      <c r="B6" s="8">
        <v>35</v>
      </c>
      <c r="C6" s="60"/>
      <c r="D6" s="100"/>
      <c r="E6" s="100"/>
      <c r="F6" s="100"/>
      <c r="G6" s="100"/>
      <c r="H6" s="100"/>
    </row>
    <row r="7" spans="1:8">
      <c r="A7" s="2" t="s">
        <v>16</v>
      </c>
      <c r="B7" s="8">
        <v>60</v>
      </c>
      <c r="C7" s="60"/>
      <c r="D7" s="100"/>
      <c r="E7" s="100"/>
      <c r="F7" s="100"/>
      <c r="G7" s="100"/>
      <c r="H7" s="100"/>
    </row>
    <row r="8" spans="1:8">
      <c r="A8" s="2" t="s">
        <v>15</v>
      </c>
      <c r="B8" s="8">
        <v>80</v>
      </c>
      <c r="C8" s="60"/>
      <c r="D8" s="100"/>
      <c r="E8" s="100"/>
      <c r="F8" s="100"/>
      <c r="G8" s="100"/>
      <c r="H8" s="100"/>
    </row>
    <row r="9" spans="1:8">
      <c r="A9" s="2" t="s">
        <v>14</v>
      </c>
      <c r="B9" s="9">
        <f>B7-B6</f>
        <v>25</v>
      </c>
      <c r="C9" s="60"/>
      <c r="D9" s="100"/>
      <c r="E9" s="100"/>
      <c r="F9" s="100"/>
      <c r="G9" s="100"/>
      <c r="H9" s="100"/>
    </row>
    <row r="10" spans="1:8">
      <c r="A10" s="2" t="s">
        <v>13</v>
      </c>
      <c r="B10" s="10">
        <f>B4*(1+B5/100)^B9</f>
        <v>296767.25850283745</v>
      </c>
      <c r="C10" s="80"/>
      <c r="D10" s="100"/>
      <c r="E10" s="100"/>
      <c r="F10" s="100"/>
      <c r="G10" s="100"/>
      <c r="H10" s="100"/>
    </row>
    <row r="11" spans="1:8">
      <c r="A11" s="2" t="s">
        <v>12</v>
      </c>
      <c r="B11" s="11">
        <f>B8-B7</f>
        <v>20</v>
      </c>
      <c r="C11" s="60"/>
      <c r="D11" s="100"/>
      <c r="E11" s="100"/>
      <c r="F11" s="113"/>
      <c r="G11" s="100"/>
      <c r="H11" s="100"/>
    </row>
    <row r="12" spans="1:8">
      <c r="A12" s="2" t="s">
        <v>11</v>
      </c>
      <c r="B12" s="7">
        <v>9</v>
      </c>
      <c r="C12" s="79"/>
      <c r="D12" s="100"/>
      <c r="E12" s="100"/>
      <c r="F12" s="100"/>
      <c r="G12" s="100"/>
      <c r="H12" s="100"/>
    </row>
    <row r="13" spans="1:8">
      <c r="A13" s="2" t="s">
        <v>36</v>
      </c>
      <c r="B13" s="7">
        <v>8</v>
      </c>
      <c r="C13" s="79"/>
      <c r="D13" s="100"/>
      <c r="E13" s="100"/>
      <c r="F13" s="100"/>
      <c r="G13" s="100"/>
      <c r="H13" s="100"/>
    </row>
    <row r="14" spans="1:8">
      <c r="A14" s="5" t="s">
        <v>37</v>
      </c>
      <c r="B14" s="15"/>
      <c r="C14" s="60"/>
      <c r="D14" s="100"/>
      <c r="E14" s="100"/>
      <c r="F14" s="100"/>
      <c r="G14" s="100"/>
      <c r="H14" s="100"/>
    </row>
    <row r="15" spans="1:8">
      <c r="A15" s="4" t="s">
        <v>10</v>
      </c>
      <c r="B15" s="68">
        <f>PV((1+((B13/100)))/(1+(B12/100))-1,B11,-12*B10,,1)</f>
        <v>77851401.196472019</v>
      </c>
      <c r="C15" s="80"/>
      <c r="D15" s="100"/>
      <c r="E15" s="100"/>
      <c r="F15" s="100"/>
      <c r="G15" s="100"/>
      <c r="H15" s="100"/>
    </row>
    <row r="16" spans="1:8">
      <c r="A16" s="123" t="s">
        <v>38</v>
      </c>
      <c r="B16" s="124"/>
      <c r="C16" s="125"/>
      <c r="D16" s="100"/>
      <c r="E16" s="100"/>
      <c r="F16" s="100"/>
      <c r="G16" s="100"/>
      <c r="H16" s="100"/>
    </row>
    <row r="17" spans="1:8">
      <c r="A17" s="2" t="s">
        <v>8</v>
      </c>
      <c r="B17" s="7">
        <v>14</v>
      </c>
      <c r="C17" s="79"/>
      <c r="D17" s="100"/>
      <c r="E17" s="100"/>
      <c r="F17" s="100"/>
      <c r="G17" s="100"/>
      <c r="H17" s="100"/>
    </row>
    <row r="18" spans="1:8">
      <c r="A18" s="2" t="s">
        <v>39</v>
      </c>
      <c r="B18" s="7">
        <v>6</v>
      </c>
      <c r="C18" s="79"/>
      <c r="D18" s="100"/>
      <c r="E18" s="100"/>
      <c r="F18" s="100"/>
      <c r="G18" s="100"/>
      <c r="H18" s="100"/>
    </row>
    <row r="19" spans="1:8">
      <c r="A19" s="2" t="s">
        <v>40</v>
      </c>
      <c r="B19" s="7">
        <v>8</v>
      </c>
      <c r="C19" s="79"/>
      <c r="D19" s="100"/>
      <c r="E19" s="100"/>
      <c r="F19" s="100"/>
      <c r="G19" s="100"/>
      <c r="H19" s="100"/>
    </row>
    <row r="20" spans="1:8">
      <c r="A20" s="3" t="s">
        <v>7</v>
      </c>
      <c r="B20" s="15"/>
      <c r="C20" s="107" t="s">
        <v>90</v>
      </c>
      <c r="D20" s="100"/>
      <c r="E20" s="100"/>
      <c r="F20" s="100"/>
      <c r="G20" s="100"/>
      <c r="H20" s="100"/>
    </row>
    <row r="21" spans="1:8">
      <c r="A21" s="2" t="s">
        <v>6</v>
      </c>
      <c r="B21" s="8">
        <v>100000</v>
      </c>
      <c r="C21" s="9">
        <f>(B21*(1+B17/100)^Retirement!$B$9)</f>
        <v>2646191.5812336383</v>
      </c>
      <c r="D21" s="100"/>
      <c r="E21" s="100"/>
      <c r="F21" s="100"/>
      <c r="G21" s="100"/>
      <c r="H21" s="100"/>
    </row>
    <row r="22" spans="1:8">
      <c r="A22" s="2" t="s">
        <v>5</v>
      </c>
      <c r="B22" s="7">
        <v>100000</v>
      </c>
      <c r="C22" s="109">
        <f>(B22*(1+B18/100)^Retirement!$B$9)</f>
        <v>429187.0719743488</v>
      </c>
      <c r="D22" s="100"/>
      <c r="E22" s="100"/>
      <c r="F22" s="100"/>
      <c r="G22" s="100"/>
      <c r="H22" s="100"/>
    </row>
    <row r="23" spans="1:8">
      <c r="A23" s="2" t="s">
        <v>41</v>
      </c>
      <c r="B23" s="7">
        <v>100000</v>
      </c>
      <c r="C23" s="109">
        <f>(B23*(1+B19/100)^Retirement!$B$9)</f>
        <v>684847.51962193253</v>
      </c>
      <c r="D23" s="100"/>
      <c r="E23" s="114"/>
      <c r="F23" s="100"/>
      <c r="G23" s="100"/>
      <c r="H23" s="100"/>
    </row>
    <row r="24" spans="1:8">
      <c r="A24" s="2" t="s">
        <v>4</v>
      </c>
      <c r="B24" s="8">
        <v>500000</v>
      </c>
      <c r="C24" s="9">
        <f>B24</f>
        <v>500000</v>
      </c>
      <c r="D24" s="100"/>
      <c r="E24" s="100"/>
      <c r="F24" s="100"/>
      <c r="G24" s="100"/>
      <c r="H24" s="100"/>
    </row>
    <row r="25" spans="1:8">
      <c r="A25" s="2" t="s">
        <v>3</v>
      </c>
      <c r="B25" s="8">
        <v>8000</v>
      </c>
      <c r="C25" s="9">
        <f>(12*(12%*B25+12%*B25+IF(12%*B25&gt;1800,-1249.5,0))*((1+B27%+0.000001%)^B9-(1+B26%)^B9)/(0.000001%+B27%-B26%))</f>
        <v>2658908.6872896501</v>
      </c>
      <c r="D25" s="100"/>
      <c r="E25" s="100"/>
      <c r="F25" s="100"/>
      <c r="G25" s="100"/>
      <c r="H25" s="100"/>
    </row>
    <row r="26" spans="1:8">
      <c r="A26" s="2" t="s">
        <v>2</v>
      </c>
      <c r="B26" s="7">
        <v>5</v>
      </c>
      <c r="C26" s="79"/>
      <c r="D26" s="100"/>
      <c r="E26" s="100"/>
      <c r="F26" s="100"/>
      <c r="G26" s="100"/>
      <c r="H26" s="100"/>
    </row>
    <row r="27" spans="1:8">
      <c r="A27" s="2" t="s">
        <v>1</v>
      </c>
      <c r="B27" s="108">
        <v>8</v>
      </c>
      <c r="C27" s="79"/>
      <c r="D27" s="100"/>
      <c r="E27" s="100"/>
      <c r="F27" s="100"/>
      <c r="G27" s="100"/>
      <c r="H27" s="100"/>
    </row>
    <row r="28" spans="1:8">
      <c r="A28" s="1" t="s">
        <v>0</v>
      </c>
      <c r="B28" s="67">
        <f>Retirement!B15-SUM(C21:C25)</f>
        <v>70932266.336352453</v>
      </c>
      <c r="C28" s="80"/>
      <c r="D28" s="100"/>
      <c r="E28" s="100"/>
      <c r="F28" s="100"/>
      <c r="G28" s="100"/>
      <c r="H28" s="100"/>
    </row>
    <row r="29" spans="1:8">
      <c r="A29" s="16"/>
      <c r="B29" s="17"/>
      <c r="C29" s="76"/>
      <c r="D29" s="100"/>
      <c r="E29" s="100"/>
      <c r="F29" s="100"/>
      <c r="G29" s="100"/>
      <c r="H29" s="100"/>
    </row>
    <row r="30" spans="1:8">
      <c r="A30" s="16"/>
      <c r="B30" s="17"/>
      <c r="C30" s="76"/>
      <c r="D30" s="100"/>
      <c r="E30" s="100"/>
      <c r="F30" s="100"/>
      <c r="G30" s="100"/>
      <c r="H30" s="100"/>
    </row>
    <row r="31" spans="1:8">
      <c r="A31" s="126" t="s">
        <v>31</v>
      </c>
      <c r="B31" s="127"/>
      <c r="C31" s="60"/>
      <c r="D31" s="100"/>
      <c r="E31" s="100"/>
      <c r="F31" s="100"/>
      <c r="G31" s="100"/>
      <c r="H31" s="100"/>
    </row>
    <row r="32" spans="1:8">
      <c r="A32" s="70" t="s">
        <v>30</v>
      </c>
      <c r="B32" s="70"/>
      <c r="C32" s="60"/>
      <c r="D32" s="100"/>
      <c r="E32" s="100"/>
      <c r="F32" s="100"/>
      <c r="G32" s="100"/>
      <c r="H32" s="100"/>
    </row>
    <row r="33" spans="1:8">
      <c r="A33" s="2" t="s">
        <v>29</v>
      </c>
      <c r="B33" s="12">
        <v>70</v>
      </c>
      <c r="C33" s="77"/>
      <c r="D33" s="100"/>
      <c r="E33" s="100"/>
      <c r="F33" s="100"/>
      <c r="G33" s="100"/>
      <c r="H33" s="100"/>
    </row>
    <row r="34" spans="1:8">
      <c r="A34" s="2" t="s">
        <v>28</v>
      </c>
      <c r="B34" s="12">
        <v>10</v>
      </c>
      <c r="C34" s="77"/>
      <c r="D34" s="100"/>
      <c r="E34" s="100"/>
      <c r="F34" s="100"/>
      <c r="G34" s="100"/>
      <c r="H34" s="100"/>
    </row>
    <row r="35" spans="1:8">
      <c r="A35" s="2" t="s">
        <v>27</v>
      </c>
      <c r="B35" s="13">
        <f>100-B33-B34</f>
        <v>20</v>
      </c>
      <c r="C35" s="77"/>
      <c r="D35" s="100"/>
      <c r="E35" s="100"/>
      <c r="F35" s="100"/>
      <c r="G35" s="100"/>
      <c r="H35" s="100"/>
    </row>
    <row r="36" spans="1:8">
      <c r="A36" s="2" t="s">
        <v>26</v>
      </c>
      <c r="B36" s="12">
        <v>10</v>
      </c>
      <c r="C36" s="77"/>
      <c r="D36" s="100"/>
      <c r="E36" s="100"/>
      <c r="F36" s="100"/>
      <c r="G36" s="100"/>
      <c r="H36" s="100"/>
    </row>
    <row r="37" spans="1:8">
      <c r="A37" s="2" t="s">
        <v>25</v>
      </c>
      <c r="B37" s="14">
        <f>((Retirement!B17*B33)+(Retirement!B18*B34)+(Retirement!B19*B35))/100</f>
        <v>12</v>
      </c>
      <c r="C37" s="81"/>
      <c r="D37" s="100"/>
      <c r="E37" s="100"/>
      <c r="F37" s="100"/>
      <c r="G37" s="100"/>
      <c r="H37" s="100"/>
    </row>
    <row r="38" spans="1:8">
      <c r="A38" s="2" t="s">
        <v>24</v>
      </c>
      <c r="B38" s="67">
        <f>IF(Retirement!B28&lt;0,0,IF(B36=B37,Retirement!B28/(12*Retirement!B9*(1+(B37/100))^Retirement!B9),Retirement!B28*((B37/100)-(B36/100))/(12*(1+(B37/100))*((1+(B37/100))^(Retirement!B9)-(1+(B36/100))^(Retirement!B9)))))</f>
        <v>17120.491596966061</v>
      </c>
      <c r="C38" s="80"/>
      <c r="D38" s="100"/>
      <c r="E38" s="100"/>
      <c r="F38" s="100"/>
      <c r="G38" s="100"/>
      <c r="H38" s="100"/>
    </row>
    <row r="39" spans="1:8">
      <c r="A39" s="3" t="s">
        <v>23</v>
      </c>
      <c r="B39" s="15"/>
      <c r="C39" s="60"/>
      <c r="D39" s="100"/>
      <c r="E39" s="100"/>
      <c r="F39" s="100"/>
      <c r="G39" s="100"/>
      <c r="H39" s="100"/>
    </row>
    <row r="40" spans="1:8">
      <c r="A40" s="1" t="s">
        <v>22</v>
      </c>
      <c r="B40" s="10">
        <f>B38*B33/100</f>
        <v>11984.344117876242</v>
      </c>
      <c r="C40" s="80"/>
      <c r="D40" s="100"/>
      <c r="E40" s="100"/>
      <c r="F40" s="100"/>
      <c r="G40" s="100"/>
      <c r="H40" s="100"/>
    </row>
    <row r="41" spans="1:8">
      <c r="A41" s="1" t="s">
        <v>21</v>
      </c>
      <c r="B41" s="10">
        <f>B38*B34/100</f>
        <v>1712.0491596966062</v>
      </c>
      <c r="C41" s="80"/>
      <c r="D41" s="100"/>
      <c r="E41" s="100"/>
      <c r="F41" s="100"/>
      <c r="G41" s="100"/>
      <c r="H41" s="100"/>
    </row>
    <row r="42" spans="1:8" ht="15" thickBot="1">
      <c r="A42" s="6" t="s">
        <v>20</v>
      </c>
      <c r="B42" s="10">
        <f>B38*B35/100</f>
        <v>3424.0983193932125</v>
      </c>
      <c r="C42" s="80"/>
      <c r="D42" s="100"/>
      <c r="E42" s="100"/>
      <c r="F42" s="100"/>
      <c r="G42" s="100"/>
      <c r="H42" s="100"/>
    </row>
    <row r="43" spans="1:8">
      <c r="A43" s="100"/>
      <c r="B43" s="100"/>
      <c r="D43" s="100"/>
      <c r="E43" s="100"/>
      <c r="F43" s="100"/>
      <c r="G43" s="100"/>
      <c r="H43" s="100"/>
    </row>
    <row r="44" spans="1:8">
      <c r="A44" s="100"/>
      <c r="B44" s="100"/>
      <c r="D44" s="100"/>
      <c r="E44" s="100"/>
      <c r="F44" s="100"/>
      <c r="G44" s="100"/>
      <c r="H44" s="100"/>
    </row>
    <row r="45" spans="1:8">
      <c r="A45" s="100"/>
      <c r="B45" s="100"/>
      <c r="D45" s="100"/>
      <c r="E45" s="100"/>
      <c r="F45" s="100"/>
      <c r="G45" s="100"/>
      <c r="H45" s="100"/>
    </row>
    <row r="46" spans="1:8">
      <c r="A46" s="100"/>
      <c r="B46" s="100"/>
      <c r="D46" s="100"/>
      <c r="E46" s="100"/>
      <c r="F46" s="100"/>
      <c r="G46" s="100"/>
      <c r="H46" s="100"/>
    </row>
    <row r="47" spans="1:8">
      <c r="A47" s="100"/>
      <c r="B47" s="100"/>
      <c r="D47" s="100"/>
      <c r="E47" s="100"/>
      <c r="F47" s="100"/>
      <c r="G47" s="100"/>
      <c r="H47" s="100"/>
    </row>
    <row r="48" spans="1:8">
      <c r="A48" s="100"/>
      <c r="B48" s="100"/>
      <c r="D48" s="100"/>
      <c r="E48" s="100"/>
      <c r="F48" s="100"/>
      <c r="G48" s="100"/>
      <c r="H48" s="100"/>
    </row>
    <row r="49" spans="1:8">
      <c r="A49" s="100"/>
      <c r="B49" s="100"/>
      <c r="D49" s="100"/>
      <c r="E49" s="100"/>
      <c r="F49" s="100"/>
      <c r="G49" s="100"/>
      <c r="H49" s="100"/>
    </row>
  </sheetData>
  <mergeCells count="2">
    <mergeCell ref="A16:C16"/>
    <mergeCell ref="A31:B31"/>
  </mergeCells>
  <hyperlinks>
    <hyperlink ref="A14" r:id="rId1" display="For now set it to a low number. Optimize with my posts lat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66"/>
  <sheetViews>
    <sheetView topLeftCell="A7" zoomScale="130" zoomScaleNormal="130" workbookViewId="0">
      <pane xSplit="1" topLeftCell="B1" activePane="topRight" state="frozen"/>
      <selection pane="topRight" activeCell="A17" sqref="A17"/>
    </sheetView>
  </sheetViews>
  <sheetFormatPr defaultColWidth="8.88671875" defaultRowHeight="14.4"/>
  <cols>
    <col min="1" max="1" width="45.5546875" style="35" customWidth="1"/>
    <col min="2" max="2" width="19.44140625" style="35" bestFit="1" customWidth="1"/>
    <col min="3" max="3" width="0.6640625" style="48" customWidth="1"/>
    <col min="4" max="4" width="18.44140625" style="35" bestFit="1" customWidth="1"/>
    <col min="5" max="5" width="0.6640625" style="48" customWidth="1"/>
    <col min="6" max="6" width="20.6640625" style="35" customWidth="1"/>
    <col min="7" max="7" width="0.6640625" style="48" customWidth="1"/>
    <col min="8" max="8" width="16.6640625" style="35" customWidth="1"/>
    <col min="9" max="9" width="0.6640625" style="48" customWidth="1"/>
    <col min="10" max="10" width="17" style="35" customWidth="1"/>
    <col min="11" max="11" width="0.6640625" style="48" customWidth="1"/>
    <col min="20" max="26" width="8.88671875" style="35"/>
    <col min="27" max="36" width="8.88671875" style="35" customWidth="1"/>
    <col min="37" max="16384" width="8.88671875" style="35"/>
  </cols>
  <sheetData>
    <row r="1" spans="1:36">
      <c r="A1" s="19" t="s">
        <v>42</v>
      </c>
      <c r="B1" s="20" t="s">
        <v>64</v>
      </c>
      <c r="C1" s="32"/>
      <c r="D1" s="21" t="s">
        <v>47</v>
      </c>
      <c r="E1" s="32"/>
      <c r="F1" s="21" t="s">
        <v>65</v>
      </c>
      <c r="G1" s="32"/>
      <c r="H1" s="21" t="s">
        <v>66</v>
      </c>
      <c r="I1" s="32"/>
      <c r="J1" s="21" t="s">
        <v>48</v>
      </c>
      <c r="K1" s="32"/>
      <c r="L1" s="100"/>
      <c r="M1" s="100"/>
      <c r="N1" s="100"/>
      <c r="O1" s="100"/>
      <c r="P1" s="100"/>
      <c r="Q1" s="100"/>
      <c r="R1" s="100"/>
      <c r="S1" s="100"/>
      <c r="T1" s="57"/>
      <c r="U1" s="57"/>
      <c r="V1" s="57"/>
      <c r="W1" s="57"/>
      <c r="AA1" s="36" t="s">
        <v>57</v>
      </c>
      <c r="AB1" s="21">
        <v>0</v>
      </c>
      <c r="AC1" s="37"/>
      <c r="AD1" s="21">
        <v>0</v>
      </c>
      <c r="AE1" s="37"/>
      <c r="AF1" s="21">
        <v>0</v>
      </c>
      <c r="AG1" s="37"/>
      <c r="AH1" s="21">
        <v>0</v>
      </c>
      <c r="AI1" s="37"/>
      <c r="AJ1" s="21">
        <v>0</v>
      </c>
    </row>
    <row r="2" spans="1:36">
      <c r="A2" s="19" t="s">
        <v>43</v>
      </c>
      <c r="B2" s="21">
        <v>12</v>
      </c>
      <c r="C2" s="32"/>
      <c r="D2" s="21">
        <v>14</v>
      </c>
      <c r="E2" s="32"/>
      <c r="F2" s="21">
        <v>20</v>
      </c>
      <c r="G2" s="32"/>
      <c r="H2" s="21">
        <v>22</v>
      </c>
      <c r="I2" s="32"/>
      <c r="J2" s="21">
        <v>6</v>
      </c>
      <c r="K2" s="32"/>
      <c r="L2" s="100"/>
      <c r="M2" s="100"/>
      <c r="N2" s="100"/>
      <c r="O2" s="100"/>
      <c r="P2" s="100"/>
      <c r="Q2" s="100"/>
      <c r="R2" s="100"/>
      <c r="S2" s="100"/>
      <c r="T2" s="57"/>
      <c r="U2" s="57"/>
      <c r="V2" s="57"/>
      <c r="W2" s="57"/>
      <c r="AA2" s="36" t="s">
        <v>59</v>
      </c>
      <c r="AB2" s="38">
        <f>B2-AB1</f>
        <v>12</v>
      </c>
      <c r="AC2" s="37"/>
      <c r="AD2" s="38">
        <f>D2-AD1</f>
        <v>14</v>
      </c>
      <c r="AE2" s="37"/>
      <c r="AF2" s="38">
        <f>F2-AF1</f>
        <v>20</v>
      </c>
      <c r="AG2" s="37"/>
      <c r="AH2" s="38">
        <f>H2-AH1</f>
        <v>22</v>
      </c>
      <c r="AI2" s="37"/>
      <c r="AJ2" s="38">
        <f>J2-AJ1</f>
        <v>6</v>
      </c>
    </row>
    <row r="3" spans="1:36">
      <c r="A3" s="19" t="s">
        <v>44</v>
      </c>
      <c r="B3" s="22">
        <v>2500000</v>
      </c>
      <c r="C3" s="45"/>
      <c r="D3" s="23">
        <v>2500000</v>
      </c>
      <c r="E3" s="45"/>
      <c r="F3" s="23">
        <v>1000000</v>
      </c>
      <c r="G3" s="45"/>
      <c r="H3" s="23">
        <v>100000</v>
      </c>
      <c r="I3" s="45"/>
      <c r="J3" s="23">
        <v>1000000</v>
      </c>
      <c r="K3" s="45"/>
      <c r="L3" s="100"/>
      <c r="M3" s="100"/>
      <c r="N3" s="100"/>
      <c r="O3" s="100"/>
      <c r="P3" s="100"/>
      <c r="Q3" s="100"/>
      <c r="R3" s="100"/>
      <c r="S3" s="100"/>
      <c r="T3" s="57"/>
      <c r="U3" s="57"/>
      <c r="V3" s="57"/>
      <c r="W3" s="57"/>
      <c r="AA3" s="42" t="s">
        <v>60</v>
      </c>
      <c r="AB3" s="43">
        <f>Retirement!B9</f>
        <v>25</v>
      </c>
      <c r="AC3" s="44"/>
      <c r="AD3" s="43" t="s">
        <v>61</v>
      </c>
    </row>
    <row r="4" spans="1:36">
      <c r="A4" s="19" t="s">
        <v>45</v>
      </c>
      <c r="B4" s="24">
        <v>0.1</v>
      </c>
      <c r="C4" s="45"/>
      <c r="D4" s="25">
        <v>0.1</v>
      </c>
      <c r="E4" s="45"/>
      <c r="F4" s="25">
        <v>0.1</v>
      </c>
      <c r="G4" s="45"/>
      <c r="H4" s="25">
        <v>0.1</v>
      </c>
      <c r="I4" s="45"/>
      <c r="J4" s="25">
        <v>0.1</v>
      </c>
      <c r="K4" s="45"/>
      <c r="L4" s="100"/>
      <c r="M4" s="100"/>
      <c r="N4" s="100"/>
      <c r="O4" s="100"/>
      <c r="P4" s="100"/>
      <c r="Q4" s="100"/>
      <c r="R4" s="100"/>
      <c r="S4" s="100"/>
      <c r="T4" s="57"/>
      <c r="U4" s="57"/>
      <c r="V4" s="57"/>
      <c r="W4" s="57"/>
      <c r="AB4" s="35">
        <f>IF(B2&gt;=AB3,1,IF(D2&gt;=AB3,1,IF(F2&gt;=AB3,1,IF(H2&gt;=AB3,1,IF(J2&gt;=AB3,1,0)))))</f>
        <v>0</v>
      </c>
    </row>
    <row r="5" spans="1:36">
      <c r="A5" s="19" t="s">
        <v>91</v>
      </c>
      <c r="B5" s="24">
        <v>0.12</v>
      </c>
      <c r="C5" s="45"/>
      <c r="D5" s="24">
        <v>0.12</v>
      </c>
      <c r="E5" s="45"/>
      <c r="F5" s="24">
        <v>0.12</v>
      </c>
      <c r="G5" s="45"/>
      <c r="H5" s="24">
        <v>0.12</v>
      </c>
      <c r="I5" s="45"/>
      <c r="J5" s="24">
        <v>0.12</v>
      </c>
      <c r="K5" s="45"/>
      <c r="L5" s="100"/>
      <c r="M5" s="100"/>
      <c r="N5" s="100"/>
      <c r="O5" s="100"/>
      <c r="P5" s="100"/>
      <c r="Q5" s="100"/>
      <c r="R5" s="100"/>
      <c r="S5" s="100"/>
      <c r="T5" s="57"/>
      <c r="U5" s="57"/>
      <c r="V5" s="57"/>
      <c r="W5" s="57"/>
    </row>
    <row r="6" spans="1:36">
      <c r="A6" s="19" t="s">
        <v>92</v>
      </c>
      <c r="B6" s="24">
        <v>7.0000000000000007E-2</v>
      </c>
      <c r="C6" s="45"/>
      <c r="D6" s="24">
        <v>7.0000000000000007E-2</v>
      </c>
      <c r="E6" s="45"/>
      <c r="F6" s="24">
        <v>7.0000000000000007E-2</v>
      </c>
      <c r="G6" s="45"/>
      <c r="H6" s="24">
        <v>7.0000000000000007E-2</v>
      </c>
      <c r="I6" s="45"/>
      <c r="J6" s="24">
        <v>7.0000000000000007E-2</v>
      </c>
      <c r="K6" s="45"/>
      <c r="L6" s="100"/>
      <c r="M6" s="100"/>
      <c r="N6" s="100"/>
      <c r="O6" s="100"/>
      <c r="P6" s="100"/>
      <c r="Q6" s="100"/>
      <c r="R6" s="100"/>
      <c r="S6" s="100"/>
      <c r="T6" s="57"/>
      <c r="U6" s="57"/>
      <c r="V6" s="57"/>
      <c r="W6" s="57"/>
    </row>
    <row r="7" spans="1:36">
      <c r="A7" s="19" t="s">
        <v>93</v>
      </c>
      <c r="B7" s="24">
        <v>0.6</v>
      </c>
      <c r="C7" s="45"/>
      <c r="D7" s="24">
        <v>0.6</v>
      </c>
      <c r="E7" s="45"/>
      <c r="F7" s="24">
        <v>0.6</v>
      </c>
      <c r="G7" s="45"/>
      <c r="H7" s="24">
        <v>0.6</v>
      </c>
      <c r="I7" s="45"/>
      <c r="J7" s="24">
        <v>0.6</v>
      </c>
      <c r="K7" s="45"/>
      <c r="L7" s="100"/>
      <c r="M7" s="100"/>
      <c r="N7" s="100"/>
      <c r="O7" s="100"/>
      <c r="P7" s="100"/>
      <c r="Q7" s="100"/>
      <c r="R7" s="100"/>
      <c r="S7" s="100"/>
      <c r="T7" s="57"/>
      <c r="U7" s="57"/>
      <c r="V7" s="57"/>
      <c r="W7" s="57"/>
    </row>
    <row r="8" spans="1:36">
      <c r="A8" s="19" t="s">
        <v>94</v>
      </c>
      <c r="B8" s="112">
        <f>1-B7</f>
        <v>0.4</v>
      </c>
      <c r="C8" s="45"/>
      <c r="D8" s="112">
        <f>1-D7</f>
        <v>0.4</v>
      </c>
      <c r="E8" s="45"/>
      <c r="F8" s="112">
        <f>1-F7</f>
        <v>0.4</v>
      </c>
      <c r="G8" s="45"/>
      <c r="H8" s="112">
        <f>1-H7</f>
        <v>0.4</v>
      </c>
      <c r="I8" s="45"/>
      <c r="J8" s="112">
        <f>1-J7</f>
        <v>0.4</v>
      </c>
      <c r="K8" s="45"/>
      <c r="L8" s="100"/>
      <c r="M8" s="100"/>
      <c r="N8" s="100"/>
      <c r="O8" s="100"/>
      <c r="P8" s="100"/>
      <c r="Q8" s="100"/>
      <c r="R8" s="100"/>
      <c r="S8" s="100"/>
      <c r="T8" s="57"/>
      <c r="U8" s="57"/>
      <c r="V8" s="57"/>
      <c r="W8" s="57"/>
    </row>
    <row r="9" spans="1:36">
      <c r="A9" s="19" t="s">
        <v>95</v>
      </c>
      <c r="B9" s="112">
        <f>(B7*B5)+(B8*B6)</f>
        <v>0.1</v>
      </c>
      <c r="C9" s="45"/>
      <c r="D9" s="112">
        <f>(D7*D5)+(D8*D6)</f>
        <v>0.1</v>
      </c>
      <c r="E9" s="45"/>
      <c r="F9" s="112">
        <f>(F7*F5)+(F8*F6)</f>
        <v>0.1</v>
      </c>
      <c r="G9" s="45"/>
      <c r="H9" s="112">
        <f>(H7*H5)+(H8*H6)</f>
        <v>0.1</v>
      </c>
      <c r="I9" s="45"/>
      <c r="J9" s="112">
        <f>(J7*J5)+(J8*J6)</f>
        <v>0.1</v>
      </c>
      <c r="K9" s="45"/>
      <c r="L9" s="100"/>
      <c r="M9" s="100"/>
      <c r="N9" s="100"/>
      <c r="O9" s="100"/>
      <c r="P9" s="100"/>
      <c r="Q9" s="100"/>
      <c r="R9" s="100"/>
      <c r="S9" s="100"/>
      <c r="T9" s="57"/>
      <c r="U9" s="57"/>
      <c r="V9" s="57"/>
      <c r="W9" s="57"/>
    </row>
    <row r="10" spans="1:36">
      <c r="A10" s="19" t="s">
        <v>96</v>
      </c>
      <c r="B10" s="22">
        <v>100000</v>
      </c>
      <c r="C10" s="45"/>
      <c r="D10" s="22"/>
      <c r="E10" s="45"/>
      <c r="F10" s="22"/>
      <c r="G10" s="45"/>
      <c r="H10" s="22"/>
      <c r="I10" s="45"/>
      <c r="J10" s="22"/>
      <c r="K10" s="45"/>
      <c r="L10" s="100"/>
      <c r="M10" s="100"/>
      <c r="N10" s="100"/>
      <c r="O10" s="100"/>
      <c r="P10" s="100"/>
      <c r="Q10" s="100"/>
      <c r="R10" s="100"/>
      <c r="S10" s="100"/>
      <c r="T10" s="57"/>
      <c r="U10" s="57"/>
      <c r="V10" s="57"/>
      <c r="W10" s="57"/>
    </row>
    <row r="11" spans="1:36">
      <c r="A11" s="19" t="s">
        <v>97</v>
      </c>
      <c r="B11" s="22">
        <v>200000</v>
      </c>
      <c r="C11" s="45"/>
      <c r="D11" s="22"/>
      <c r="E11" s="45"/>
      <c r="F11" s="22"/>
      <c r="G11" s="45"/>
      <c r="H11" s="22"/>
      <c r="I11" s="45"/>
      <c r="J11" s="22"/>
      <c r="K11" s="45"/>
      <c r="L11" s="100"/>
      <c r="M11" s="100"/>
      <c r="N11" s="100"/>
      <c r="O11" s="100"/>
      <c r="P11" s="100"/>
      <c r="Q11" s="100"/>
      <c r="R11" s="100"/>
      <c r="S11" s="100"/>
      <c r="T11" s="57"/>
      <c r="U11" s="57"/>
      <c r="V11" s="57"/>
      <c r="W11" s="57"/>
    </row>
    <row r="12" spans="1:36">
      <c r="A12" s="19" t="s">
        <v>63</v>
      </c>
      <c r="B12" s="24">
        <v>0.12</v>
      </c>
      <c r="C12" s="32"/>
      <c r="D12" s="24">
        <v>0.12</v>
      </c>
      <c r="E12" s="32"/>
      <c r="F12" s="24">
        <v>0.12</v>
      </c>
      <c r="G12" s="32"/>
      <c r="H12" s="24">
        <v>0.12</v>
      </c>
      <c r="I12" s="32"/>
      <c r="J12" s="24">
        <v>0.12</v>
      </c>
      <c r="K12" s="32"/>
      <c r="L12" s="100"/>
      <c r="M12" s="100"/>
      <c r="N12" s="100"/>
      <c r="O12" s="100"/>
      <c r="P12" s="100"/>
      <c r="Q12" s="100"/>
      <c r="R12" s="100"/>
      <c r="S12" s="100"/>
      <c r="T12" s="57"/>
      <c r="U12" s="57"/>
      <c r="V12" s="57"/>
      <c r="W12" s="57"/>
    </row>
    <row r="13" spans="1:36">
      <c r="A13" s="19" t="s">
        <v>46</v>
      </c>
      <c r="B13" s="28">
        <f>B3*(1+B4)^AB2</f>
        <v>7846070.9418025063</v>
      </c>
      <c r="C13" s="32"/>
      <c r="D13" s="29">
        <f>D3*(1+D4)^AD2</f>
        <v>9493745.8395810351</v>
      </c>
      <c r="E13" s="32"/>
      <c r="F13" s="29">
        <f>F3*(1+F4)^AF2</f>
        <v>6727499.949325609</v>
      </c>
      <c r="G13" s="32"/>
      <c r="H13" s="29">
        <f>H3*(1+H4)^AH2</f>
        <v>814027.49386839895</v>
      </c>
      <c r="I13" s="32"/>
      <c r="J13" s="29">
        <f>J3*(1+J4)^AJ2</f>
        <v>1771561.0000000009</v>
      </c>
      <c r="K13" s="32"/>
      <c r="L13" s="100"/>
      <c r="M13" s="100"/>
      <c r="N13" s="100"/>
      <c r="O13" s="100"/>
      <c r="P13" s="100"/>
      <c r="Q13" s="100"/>
      <c r="R13" s="100"/>
      <c r="S13" s="100"/>
      <c r="T13" s="57"/>
      <c r="U13" s="57"/>
      <c r="V13" s="57"/>
      <c r="W13" s="57"/>
    </row>
    <row r="14" spans="1:36">
      <c r="A14" s="19" t="s">
        <v>50</v>
      </c>
      <c r="B14" s="26">
        <v>0.08</v>
      </c>
      <c r="C14" s="32"/>
      <c r="D14" s="27">
        <v>0.08</v>
      </c>
      <c r="E14" s="32"/>
      <c r="F14" s="27">
        <v>0.08</v>
      </c>
      <c r="G14" s="32"/>
      <c r="H14" s="27">
        <v>0.08</v>
      </c>
      <c r="I14" s="32"/>
      <c r="J14" s="27">
        <v>0.08</v>
      </c>
      <c r="K14" s="32"/>
      <c r="L14" s="100"/>
      <c r="M14" s="100"/>
      <c r="N14" s="100"/>
      <c r="O14" s="100"/>
      <c r="P14" s="100"/>
      <c r="Q14" s="100"/>
      <c r="R14" s="100"/>
      <c r="S14" s="100"/>
      <c r="T14" s="57"/>
      <c r="U14" s="57"/>
      <c r="V14" s="57"/>
      <c r="W14" s="57"/>
    </row>
    <row r="15" spans="1:36">
      <c r="A15" s="19" t="s">
        <v>51</v>
      </c>
      <c r="B15" s="28">
        <f>B10*(1+B5)^ygoal1+B11*(1+B6)^ygoal1</f>
        <v>840035.91704686254</v>
      </c>
      <c r="C15" s="32"/>
      <c r="D15" s="28">
        <f>D10*(1+D5)^ygoal1+D11*(1+D6)^ygoal1</f>
        <v>0</v>
      </c>
      <c r="E15" s="32"/>
      <c r="F15" s="28">
        <f>F10*(1+F5)^ygoal1+F11*(1+F6)^ygoal1</f>
        <v>0</v>
      </c>
      <c r="G15" s="32"/>
      <c r="H15" s="28">
        <f>H10*(1+H5)^ygoal1+H11*(1+H6)^ygoal1</f>
        <v>0</v>
      </c>
      <c r="I15" s="32"/>
      <c r="J15" s="28">
        <f>J10*(1+J5)^ygoal1+J11*(1+J6)^ygoal1</f>
        <v>0</v>
      </c>
      <c r="K15" s="32"/>
      <c r="L15" s="100"/>
      <c r="M15" s="100"/>
      <c r="N15" s="100"/>
      <c r="O15" s="100"/>
      <c r="P15" s="100"/>
      <c r="Q15" s="100"/>
      <c r="R15" s="100"/>
      <c r="S15" s="100"/>
      <c r="T15" s="57"/>
      <c r="U15" s="57"/>
      <c r="V15" s="57"/>
      <c r="W15" s="57"/>
    </row>
    <row r="16" spans="1:36">
      <c r="A16" s="19" t="s">
        <v>52</v>
      </c>
      <c r="B16" s="26">
        <v>0.1</v>
      </c>
      <c r="C16" s="32"/>
      <c r="D16" s="27">
        <v>0.1</v>
      </c>
      <c r="E16" s="32"/>
      <c r="F16" s="27">
        <v>0.1</v>
      </c>
      <c r="G16" s="32"/>
      <c r="H16" s="27">
        <v>0.1</v>
      </c>
      <c r="I16" s="32"/>
      <c r="J16" s="27">
        <v>0.1</v>
      </c>
      <c r="K16" s="32"/>
      <c r="L16" s="100"/>
      <c r="M16" s="100"/>
      <c r="N16" s="100"/>
      <c r="O16" s="100"/>
      <c r="P16" s="100"/>
      <c r="Q16" s="100"/>
      <c r="R16" s="100"/>
      <c r="S16" s="100"/>
      <c r="T16" s="57"/>
      <c r="U16" s="57"/>
      <c r="V16" s="57"/>
      <c r="W16" s="57"/>
    </row>
    <row r="17" spans="1:23">
      <c r="A17" s="19" t="s">
        <v>53</v>
      </c>
      <c r="B17" s="30">
        <f>IF(B12=B16,(B13-B15)/(12*AB2*(1+B12)^AB2),(B13-B15)*(B12-B16)/(12*(1+B12)*((1+B12)^(AB2)-(1+B16)^(AB2))))</f>
        <v>13762.365745023082</v>
      </c>
      <c r="C17" s="32"/>
      <c r="D17" s="31">
        <f>IF(D12=D16,(D13-D15)/(12*AD2*(1+D12)^AD2),(D13-D15)*(D12-D16)/(12*(1+D12)*((1+D12)^(AD2)-(1+D16)^(AD2))))</f>
        <v>12965.691184202871</v>
      </c>
      <c r="E17" s="32"/>
      <c r="F17" s="31">
        <f>IF(F12=F16,(F13-F15)/(12*AF2*(1+F12)^AF2),(F13-F15)*(F12-F16)/(12*(1+F12)*((1+F12)^(AF2)-(1+F16)^(AF2))))</f>
        <v>3429.897270942457</v>
      </c>
      <c r="G17" s="32"/>
      <c r="H17" s="31">
        <f>IF(H12=H16,(H13-H15)/(12*AH2*(1+H12)^AH2),(H13-H15)*(H12-H16)/(12*(1+H12)*((1+H12)^(AH2)-(1+H16)^(AH2))))</f>
        <v>305.89386239149019</v>
      </c>
      <c r="I17" s="32"/>
      <c r="J17" s="31">
        <f>IF(J12=J16,(J13-J15)/(12*AJ2*(1+J12)^AJ2),(J13-J15)*(J12-J16)/(12*(1+J12)*((1+J12)^(AJ2)-(1+J16)^(AJ2))))</f>
        <v>13033.864944302262</v>
      </c>
      <c r="K17" s="32"/>
      <c r="L17" s="100"/>
      <c r="M17" s="100"/>
      <c r="N17" s="100"/>
      <c r="O17" s="100"/>
      <c r="P17" s="100"/>
      <c r="Q17" s="100"/>
      <c r="R17" s="100"/>
      <c r="S17" s="100"/>
      <c r="T17" s="57"/>
      <c r="U17" s="57"/>
      <c r="V17" s="57"/>
      <c r="W17" s="57"/>
    </row>
    <row r="18" spans="1:23">
      <c r="A18" s="63" t="str">
        <f>CONCATENATE(AA3,AB3,AD3)</f>
        <v>* that is less than 25 years</v>
      </c>
      <c r="B18" s="104"/>
      <c r="C18" s="32"/>
      <c r="D18" s="63"/>
      <c r="E18" s="32"/>
      <c r="F18" s="64"/>
      <c r="G18" s="32"/>
      <c r="H18" s="63"/>
      <c r="I18" s="32"/>
      <c r="J18" s="63"/>
      <c r="K18" s="32"/>
      <c r="L18" s="100"/>
      <c r="M18" s="100"/>
      <c r="N18" s="100"/>
      <c r="O18" s="100"/>
      <c r="P18" s="100"/>
      <c r="Q18" s="100"/>
      <c r="R18" s="100"/>
      <c r="S18" s="100"/>
      <c r="T18" s="57"/>
      <c r="U18" s="57"/>
      <c r="V18" s="57"/>
      <c r="W18" s="57"/>
    </row>
    <row r="19" spans="1:23">
      <c r="A19" s="44"/>
      <c r="B19" s="44"/>
      <c r="C19" s="95"/>
      <c r="D19" s="44"/>
      <c r="E19" s="95"/>
      <c r="F19" s="44"/>
      <c r="G19" s="95"/>
      <c r="H19" s="44"/>
      <c r="I19" s="95"/>
      <c r="J19" s="44"/>
      <c r="K19" s="95"/>
      <c r="L19" s="82"/>
      <c r="M19" s="82"/>
      <c r="N19" s="82"/>
      <c r="O19" s="100"/>
      <c r="P19" s="100"/>
      <c r="Q19" s="100"/>
      <c r="R19" s="100"/>
      <c r="S19" s="100"/>
      <c r="T19" s="57"/>
      <c r="U19" s="57"/>
      <c r="V19" s="57"/>
      <c r="W19" s="57"/>
    </row>
    <row r="20" spans="1:23">
      <c r="A20" s="44"/>
      <c r="B20" s="44"/>
      <c r="C20" s="95"/>
      <c r="D20" s="44"/>
      <c r="E20" s="95"/>
      <c r="F20" s="44"/>
      <c r="G20" s="95"/>
      <c r="H20" s="44"/>
      <c r="I20" s="95"/>
      <c r="J20" s="44"/>
      <c r="K20" s="95"/>
      <c r="L20" s="82"/>
      <c r="M20" s="82"/>
      <c r="N20" s="82"/>
      <c r="O20" s="100"/>
      <c r="P20" s="100"/>
      <c r="Q20" s="100"/>
      <c r="R20" s="100"/>
      <c r="S20" s="100"/>
      <c r="T20" s="57"/>
      <c r="U20" s="57"/>
      <c r="V20" s="57"/>
      <c r="W20" s="57"/>
    </row>
    <row r="21" spans="1:23">
      <c r="A21" s="44"/>
      <c r="B21" s="44"/>
      <c r="C21" s="95"/>
      <c r="D21" s="44"/>
      <c r="E21" s="95"/>
      <c r="F21" s="44"/>
      <c r="G21" s="95"/>
      <c r="H21" s="105"/>
      <c r="I21" s="95"/>
      <c r="J21" s="44"/>
      <c r="K21" s="95"/>
      <c r="L21" s="82"/>
      <c r="M21" s="82"/>
      <c r="N21" s="82"/>
      <c r="O21" s="100"/>
      <c r="P21" s="100"/>
      <c r="Q21" s="100"/>
      <c r="R21" s="100"/>
      <c r="S21" s="100"/>
      <c r="T21" s="57"/>
      <c r="U21" s="57"/>
      <c r="V21" s="57"/>
      <c r="W21" s="57"/>
    </row>
    <row r="22" spans="1:23">
      <c r="A22" s="44"/>
      <c r="B22" s="44"/>
      <c r="C22" s="95"/>
      <c r="D22" s="44"/>
      <c r="E22" s="95"/>
      <c r="F22" s="44"/>
      <c r="G22" s="95"/>
      <c r="H22" s="44"/>
      <c r="I22" s="95"/>
      <c r="J22" s="44"/>
      <c r="K22" s="95"/>
      <c r="L22" s="82"/>
      <c r="M22" s="82"/>
      <c r="N22" s="82"/>
      <c r="O22" s="100"/>
      <c r="P22" s="100"/>
      <c r="Q22" s="100"/>
      <c r="R22" s="100"/>
      <c r="S22" s="100"/>
      <c r="T22" s="57"/>
      <c r="U22" s="57"/>
      <c r="V22" s="57"/>
      <c r="W22" s="57"/>
    </row>
    <row r="23" spans="1:23">
      <c r="A23" s="44"/>
      <c r="B23" s="44"/>
      <c r="C23" s="95"/>
      <c r="D23" s="44"/>
      <c r="E23" s="95"/>
      <c r="F23" s="44"/>
      <c r="G23" s="95"/>
      <c r="H23" s="44"/>
      <c r="I23" s="95"/>
      <c r="J23" s="44"/>
      <c r="K23" s="95"/>
      <c r="L23" s="82"/>
      <c r="M23" s="82"/>
      <c r="N23" s="82"/>
      <c r="O23" s="100"/>
      <c r="P23" s="100"/>
      <c r="Q23" s="100"/>
      <c r="R23" s="100"/>
      <c r="S23" s="100"/>
      <c r="T23" s="57"/>
      <c r="U23" s="57"/>
      <c r="V23" s="57"/>
      <c r="W23" s="57"/>
    </row>
    <row r="24" spans="1:23">
      <c r="A24" s="44"/>
      <c r="B24" s="44"/>
      <c r="C24" s="95"/>
      <c r="D24" s="44"/>
      <c r="E24" s="95"/>
      <c r="F24" s="44"/>
      <c r="G24" s="95"/>
      <c r="H24" s="44"/>
      <c r="I24" s="95"/>
      <c r="J24" s="44"/>
      <c r="K24" s="95"/>
      <c r="L24" s="82"/>
      <c r="M24" s="82"/>
      <c r="N24" s="82"/>
      <c r="O24" s="100"/>
      <c r="P24" s="100"/>
      <c r="Q24" s="100"/>
      <c r="R24" s="100"/>
      <c r="S24" s="100"/>
      <c r="T24" s="57"/>
      <c r="U24" s="57"/>
      <c r="V24" s="57"/>
      <c r="W24" s="57"/>
    </row>
    <row r="25" spans="1:23">
      <c r="A25" s="44"/>
      <c r="B25" s="44"/>
      <c r="C25" s="95"/>
      <c r="D25" s="44"/>
      <c r="E25" s="95"/>
      <c r="F25" s="44"/>
      <c r="G25" s="95"/>
      <c r="H25" s="44"/>
      <c r="I25" s="95"/>
      <c r="J25" s="44"/>
      <c r="K25" s="95"/>
      <c r="L25" s="82"/>
      <c r="M25" s="82"/>
      <c r="N25" s="82"/>
    </row>
    <row r="26" spans="1:23">
      <c r="A26" s="44"/>
      <c r="B26" s="44"/>
      <c r="C26" s="95"/>
      <c r="D26" s="44"/>
      <c r="E26" s="95"/>
      <c r="F26" s="44"/>
      <c r="G26" s="95"/>
      <c r="H26" s="44"/>
      <c r="I26" s="95"/>
      <c r="J26" s="44"/>
      <c r="K26" s="95"/>
      <c r="L26" s="82"/>
      <c r="M26" s="82"/>
      <c r="N26" s="82"/>
    </row>
    <row r="27" spans="1:23">
      <c r="A27" s="44"/>
      <c r="B27" s="44"/>
      <c r="C27" s="95"/>
      <c r="D27" s="44"/>
      <c r="E27" s="95"/>
      <c r="F27" s="44"/>
      <c r="G27" s="95"/>
      <c r="H27" s="44"/>
      <c r="I27" s="95"/>
      <c r="J27" s="44"/>
      <c r="K27" s="95"/>
      <c r="L27" s="82"/>
      <c r="M27" s="82"/>
      <c r="N27" s="82"/>
    </row>
    <row r="28" spans="1:23">
      <c r="A28" s="44"/>
      <c r="B28" s="44"/>
      <c r="C28" s="95"/>
      <c r="D28" s="44"/>
      <c r="E28" s="95"/>
      <c r="F28" s="44"/>
      <c r="G28" s="95"/>
      <c r="H28" s="44"/>
      <c r="I28" s="95"/>
      <c r="J28" s="44"/>
      <c r="K28" s="95"/>
      <c r="L28" s="82"/>
      <c r="M28" s="82"/>
      <c r="N28" s="82"/>
    </row>
    <row r="29" spans="1:2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82"/>
      <c r="M29" s="82"/>
      <c r="N29" s="82"/>
    </row>
    <row r="30" spans="1:2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82"/>
      <c r="M30" s="82"/>
      <c r="N30" s="82"/>
    </row>
    <row r="31" spans="1:2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82"/>
      <c r="M31" s="82"/>
      <c r="N31" s="82"/>
    </row>
    <row r="32" spans="1:2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82"/>
      <c r="M32" s="82"/>
      <c r="N32" s="82"/>
    </row>
    <row r="33" spans="1:2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82"/>
      <c r="M33" s="82"/>
      <c r="N33" s="82"/>
    </row>
    <row r="34" spans="1:2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82"/>
      <c r="M34" s="82"/>
      <c r="N34" s="82"/>
    </row>
    <row r="35" spans="1:2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82"/>
      <c r="M35" s="82"/>
      <c r="N35" s="82"/>
      <c r="T35" s="50"/>
    </row>
    <row r="36" spans="1:2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82"/>
      <c r="M36" s="82"/>
      <c r="N36" s="82"/>
    </row>
    <row r="37" spans="1:20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82"/>
      <c r="M37" s="82"/>
      <c r="N37" s="82"/>
    </row>
    <row r="38" spans="1:20">
      <c r="A38" s="44"/>
      <c r="B38" s="60"/>
      <c r="C38" s="44"/>
      <c r="D38" s="44"/>
      <c r="E38" s="44"/>
      <c r="F38" s="53"/>
      <c r="G38" s="44"/>
      <c r="H38" s="53"/>
      <c r="I38" s="44"/>
      <c r="J38" s="44"/>
      <c r="K38" s="44"/>
      <c r="L38" s="82"/>
      <c r="M38" s="82"/>
      <c r="N38" s="82"/>
    </row>
    <row r="39" spans="1:20">
      <c r="A39" s="44"/>
      <c r="B39" s="88"/>
      <c r="C39" s="44"/>
      <c r="D39" s="44"/>
      <c r="E39" s="44"/>
      <c r="F39" s="53"/>
      <c r="G39" s="44"/>
      <c r="H39" s="53"/>
      <c r="I39" s="44"/>
      <c r="J39" s="44"/>
      <c r="K39" s="44"/>
      <c r="L39" s="82"/>
      <c r="M39" s="82"/>
      <c r="N39" s="82"/>
    </row>
    <row r="40" spans="1:20">
      <c r="A40" s="88"/>
      <c r="B40" s="53"/>
      <c r="C40" s="44"/>
      <c r="D40" s="58"/>
      <c r="E40" s="44"/>
      <c r="F40" s="89"/>
      <c r="G40" s="44"/>
      <c r="H40" s="85"/>
      <c r="I40" s="44"/>
      <c r="J40" s="44"/>
      <c r="K40" s="44"/>
      <c r="L40" s="82"/>
      <c r="M40" s="82"/>
      <c r="N40" s="82"/>
    </row>
    <row r="41" spans="1:20">
      <c r="A41" s="88"/>
      <c r="B41" s="53"/>
      <c r="C41" s="44"/>
      <c r="D41" s="58"/>
      <c r="E41" s="44"/>
      <c r="F41" s="89"/>
      <c r="G41" s="44"/>
      <c r="H41" s="85"/>
      <c r="I41" s="44"/>
      <c r="J41" s="44"/>
      <c r="K41" s="44"/>
      <c r="L41" s="82"/>
      <c r="M41" s="82"/>
      <c r="N41" s="82"/>
    </row>
    <row r="42" spans="1:20">
      <c r="A42" s="88"/>
      <c r="B42" s="53"/>
      <c r="C42" s="44"/>
      <c r="D42" s="58"/>
      <c r="E42" s="44"/>
      <c r="F42" s="89"/>
      <c r="G42" s="44"/>
      <c r="H42" s="85"/>
      <c r="I42" s="44"/>
      <c r="J42" s="44"/>
      <c r="K42" s="44"/>
      <c r="L42" s="82"/>
      <c r="M42" s="82"/>
      <c r="N42" s="82"/>
    </row>
    <row r="43" spans="1:20">
      <c r="A43" s="90"/>
      <c r="B43" s="53"/>
      <c r="C43" s="44"/>
      <c r="D43" s="58"/>
      <c r="E43" s="44"/>
      <c r="F43" s="89"/>
      <c r="G43" s="44"/>
      <c r="H43" s="91"/>
      <c r="I43" s="44"/>
      <c r="J43" s="44"/>
      <c r="K43" s="44"/>
      <c r="L43" s="82"/>
      <c r="M43" s="82"/>
      <c r="N43" s="82"/>
    </row>
    <row r="44" spans="1:20">
      <c r="A44" s="90"/>
      <c r="B44" s="53"/>
      <c r="C44" s="44"/>
      <c r="D44" s="58"/>
      <c r="E44" s="44"/>
      <c r="F44" s="89"/>
      <c r="G44" s="44"/>
      <c r="H44" s="91"/>
      <c r="I44" s="44"/>
      <c r="J44" s="44"/>
      <c r="K44" s="44"/>
      <c r="L44" s="82"/>
      <c r="M44" s="82"/>
      <c r="N44" s="82"/>
    </row>
    <row r="45" spans="1:20">
      <c r="A45" s="53"/>
      <c r="B45" s="53"/>
      <c r="C45" s="44"/>
      <c r="D45" s="58"/>
      <c r="E45" s="44"/>
      <c r="F45" s="89"/>
      <c r="G45" s="44"/>
      <c r="H45" s="85"/>
      <c r="I45" s="44"/>
      <c r="J45" s="44"/>
      <c r="K45" s="44"/>
      <c r="L45" s="82"/>
      <c r="M45" s="82"/>
      <c r="N45" s="82"/>
    </row>
    <row r="46" spans="1:20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82"/>
      <c r="M46" s="82"/>
      <c r="N46" s="82"/>
    </row>
    <row r="47" spans="1:20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82"/>
      <c r="M47" s="82"/>
      <c r="N47" s="82"/>
    </row>
    <row r="48" spans="1:20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82"/>
      <c r="M48" s="82"/>
      <c r="N48" s="82"/>
    </row>
    <row r="49" spans="1:1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82"/>
      <c r="M49" s="82"/>
      <c r="N49" s="82"/>
    </row>
    <row r="50" spans="1:1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82"/>
      <c r="M50" s="82"/>
      <c r="N50" s="82"/>
    </row>
    <row r="51" spans="1:1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82"/>
      <c r="M51" s="82"/>
      <c r="N51" s="82"/>
    </row>
    <row r="52" spans="1:1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82"/>
      <c r="M52" s="82"/>
      <c r="N52" s="82"/>
    </row>
    <row r="53" spans="1:1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82"/>
      <c r="M53" s="82"/>
      <c r="N53" s="82"/>
    </row>
    <row r="54" spans="1:14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82"/>
      <c r="M54" s="82"/>
      <c r="N54" s="82"/>
    </row>
    <row r="55" spans="1:14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82"/>
      <c r="M55" s="82"/>
      <c r="N55" s="82"/>
    </row>
    <row r="56" spans="1:14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82"/>
      <c r="M56" s="82"/>
      <c r="N56" s="82"/>
    </row>
    <row r="57" spans="1:14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82"/>
      <c r="M57" s="82"/>
      <c r="N57" s="82"/>
    </row>
    <row r="58" spans="1:1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82"/>
      <c r="M58" s="82"/>
      <c r="N58" s="82"/>
    </row>
    <row r="59" spans="1:14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82"/>
      <c r="M59" s="82"/>
      <c r="N59" s="82"/>
    </row>
    <row r="60" spans="1:1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82"/>
      <c r="M60" s="82"/>
      <c r="N60" s="82"/>
    </row>
    <row r="61" spans="1:14">
      <c r="A61" s="65"/>
      <c r="B61" s="65"/>
      <c r="D61" s="65"/>
      <c r="F61" s="65"/>
      <c r="H61" s="65"/>
      <c r="J61" s="65"/>
    </row>
    <row r="62" spans="1:14">
      <c r="A62" s="65"/>
      <c r="B62" s="65"/>
      <c r="D62" s="65"/>
      <c r="F62" s="65"/>
      <c r="H62" s="65"/>
      <c r="J62" s="65"/>
    </row>
    <row r="63" spans="1:14">
      <c r="A63" s="65"/>
      <c r="B63" s="65"/>
      <c r="D63" s="65"/>
      <c r="F63" s="65"/>
      <c r="H63" s="65"/>
      <c r="J63" s="65"/>
    </row>
    <row r="64" spans="1:14">
      <c r="A64" s="65"/>
      <c r="B64" s="65"/>
      <c r="D64" s="65"/>
      <c r="F64" s="65"/>
      <c r="H64" s="65"/>
      <c r="J64" s="65"/>
    </row>
    <row r="65" spans="1:10">
      <c r="A65" s="65"/>
      <c r="B65" s="65"/>
      <c r="D65" s="65"/>
      <c r="F65" s="65"/>
      <c r="H65" s="65"/>
      <c r="J65" s="65"/>
    </row>
    <row r="66" spans="1:10">
      <c r="A66" s="65"/>
      <c r="B66" s="65"/>
      <c r="D66" s="65"/>
      <c r="F66" s="65"/>
      <c r="H66" s="65"/>
      <c r="J66" s="65"/>
    </row>
  </sheetData>
  <conditionalFormatting sqref="B1:B2 D1 F1 H1 J1">
    <cfRule type="expression" dxfId="7" priority="10">
      <formula>$B$2&gt;=$AB$3</formula>
    </cfRule>
  </conditionalFormatting>
  <conditionalFormatting sqref="D2">
    <cfRule type="expression" dxfId="6" priority="15">
      <formula>$D$2&gt;=$AB$3</formula>
    </cfRule>
  </conditionalFormatting>
  <conditionalFormatting sqref="F2">
    <cfRule type="expression" dxfId="5" priority="16">
      <formula>$F$2&gt;=$AB$3</formula>
    </cfRule>
  </conditionalFormatting>
  <conditionalFormatting sqref="H2">
    <cfRule type="expression" dxfId="4" priority="17">
      <formula>$H$2&gt;=$AB$3</formula>
    </cfRule>
  </conditionalFormatting>
  <conditionalFormatting sqref="J2">
    <cfRule type="expression" dxfId="3" priority="18">
      <formula>$J$2&gt;=$AB$3</formula>
    </cfRule>
  </conditionalFormatting>
  <conditionalFormatting sqref="A2">
    <cfRule type="expression" dxfId="2" priority="19">
      <formula>$AB$4=1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C1:E7"/>
  <sheetViews>
    <sheetView workbookViewId="0"/>
  </sheetViews>
  <sheetFormatPr defaultRowHeight="14.4"/>
  <sheetData>
    <row r="1" spans="3:5">
      <c r="C1" t="s">
        <v>67</v>
      </c>
      <c r="D1" t="s">
        <v>33</v>
      </c>
      <c r="E1" t="s">
        <v>32</v>
      </c>
    </row>
    <row r="2" spans="3:5">
      <c r="C2" t="s">
        <v>68</v>
      </c>
    </row>
    <row r="3" spans="3:5">
      <c r="C3" t="s">
        <v>82</v>
      </c>
    </row>
    <row r="4" spans="3:5">
      <c r="C4" t="s">
        <v>74</v>
      </c>
    </row>
    <row r="5" spans="3:5">
      <c r="C5" t="s">
        <v>83</v>
      </c>
    </row>
    <row r="6" spans="3:5">
      <c r="C6" t="s">
        <v>87</v>
      </c>
    </row>
    <row r="7" spans="3:5">
      <c r="C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28"/>
  <sheetViews>
    <sheetView topLeftCell="A16" zoomScale="160" zoomScaleNormal="160" workbookViewId="0">
      <selection activeCell="H22" sqref="H22"/>
    </sheetView>
  </sheetViews>
  <sheetFormatPr defaultRowHeight="14.4"/>
  <cols>
    <col min="1" max="1" width="33.33203125" bestFit="1" customWidth="1"/>
    <col min="2" max="3" width="7.5546875" bestFit="1" customWidth="1"/>
    <col min="4" max="4" width="3" bestFit="1" customWidth="1"/>
    <col min="5" max="5" width="5.5546875" customWidth="1"/>
  </cols>
  <sheetData>
    <row r="1" spans="1:11">
      <c r="A1" s="128" t="s">
        <v>77</v>
      </c>
      <c r="B1" s="128"/>
    </row>
    <row r="2" spans="1:11">
      <c r="A2" s="19" t="s">
        <v>76</v>
      </c>
      <c r="B2" s="86">
        <f>Retirement!B38</f>
        <v>17120.491596966061</v>
      </c>
      <c r="C2" s="44"/>
      <c r="D2" s="44"/>
      <c r="E2" s="44"/>
      <c r="F2" s="44"/>
      <c r="G2" s="44"/>
      <c r="H2" s="44"/>
      <c r="I2" s="53"/>
      <c r="J2" s="44"/>
      <c r="K2" s="78"/>
    </row>
    <row r="3" spans="1:11">
      <c r="A3" s="19" t="str">
        <f>'Other goals'!B1</f>
        <v>Daughters education</v>
      </c>
      <c r="B3" s="86">
        <f>'Other goals'!B17</f>
        <v>13762.365745023082</v>
      </c>
      <c r="C3" s="44"/>
      <c r="D3" s="60"/>
      <c r="E3" s="60"/>
      <c r="F3" s="60"/>
      <c r="G3" s="60"/>
      <c r="H3" s="60"/>
      <c r="I3" s="53"/>
      <c r="J3" s="44"/>
      <c r="K3" s="78"/>
    </row>
    <row r="4" spans="1:11">
      <c r="A4" s="19" t="str">
        <f>'Other goals'!F1</f>
        <v>Daughters marriage</v>
      </c>
      <c r="B4" s="86">
        <f>'Other goals'!D17</f>
        <v>12965.691184202871</v>
      </c>
      <c r="C4" s="44"/>
      <c r="D4" s="44"/>
      <c r="E4" s="44"/>
      <c r="F4" s="44"/>
      <c r="G4" s="44"/>
      <c r="H4" s="44"/>
      <c r="I4" s="58"/>
      <c r="J4" s="44"/>
      <c r="K4" s="78"/>
    </row>
    <row r="5" spans="1:11">
      <c r="A5" s="19" t="str">
        <f>'Other goals'!H1</f>
        <v>Sons marriage</v>
      </c>
      <c r="B5" s="86">
        <f>'Other goals'!F17</f>
        <v>3429.897270942457</v>
      </c>
      <c r="C5" s="44"/>
      <c r="D5" s="44"/>
      <c r="E5" s="44"/>
      <c r="F5" s="44"/>
      <c r="G5" s="44"/>
      <c r="H5" s="44"/>
      <c r="I5" s="58"/>
      <c r="J5" s="44"/>
      <c r="K5" s="78"/>
    </row>
    <row r="6" spans="1:11">
      <c r="A6" s="19" t="str">
        <f>'Other goals'!J1</f>
        <v>Goal 5</v>
      </c>
      <c r="B6" s="87">
        <f>'Other goals'!H17</f>
        <v>305.89386239149019</v>
      </c>
      <c r="C6" s="44"/>
      <c r="D6" s="44"/>
      <c r="E6" s="44"/>
      <c r="F6" s="44"/>
      <c r="G6" s="44"/>
      <c r="H6" s="44"/>
      <c r="I6" s="58"/>
      <c r="J6" s="44"/>
      <c r="K6" s="78"/>
    </row>
    <row r="7" spans="1:11">
      <c r="A7" s="19" t="s">
        <v>73</v>
      </c>
      <c r="B7" s="87">
        <f>'Other goals'!J17</f>
        <v>13033.864944302262</v>
      </c>
      <c r="C7" s="44"/>
      <c r="D7" s="44"/>
      <c r="E7" s="44"/>
      <c r="F7" s="44"/>
      <c r="G7" s="44"/>
      <c r="H7" s="44"/>
      <c r="I7" s="58"/>
      <c r="J7" s="44"/>
      <c r="K7" s="78"/>
    </row>
    <row r="8" spans="1:11">
      <c r="A8" s="59" t="s">
        <v>69</v>
      </c>
      <c r="B8" s="28">
        <f>Retirement!B38+'Other goals'!B17+'Other goals'!D17+'Other goals'!F17+'Other goals'!H17+'Other goals'!J17</f>
        <v>60618.204603828213</v>
      </c>
      <c r="C8" s="44"/>
      <c r="D8" s="44"/>
      <c r="E8" s="44"/>
      <c r="F8" s="44"/>
      <c r="G8" s="44"/>
      <c r="H8" s="61"/>
      <c r="I8" s="58"/>
      <c r="J8" s="44"/>
      <c r="K8" s="78"/>
    </row>
    <row r="9" spans="1:11">
      <c r="A9" s="95"/>
      <c r="B9" s="96"/>
      <c r="C9" s="44"/>
      <c r="D9" s="44"/>
      <c r="E9" s="44"/>
      <c r="F9" s="44"/>
      <c r="G9" s="44"/>
      <c r="H9" s="61"/>
      <c r="I9" s="58"/>
      <c r="J9" s="44"/>
      <c r="K9" s="78"/>
    </row>
    <row r="10" spans="1:11">
      <c r="A10" s="95"/>
      <c r="B10" s="96"/>
      <c r="C10" s="44"/>
      <c r="D10" s="44"/>
      <c r="E10" s="44"/>
      <c r="F10" s="44"/>
      <c r="G10" s="44"/>
      <c r="H10" s="61"/>
      <c r="I10" s="58"/>
      <c r="J10" s="44"/>
      <c r="K10" s="78"/>
    </row>
    <row r="11" spans="1:11">
      <c r="A11" s="94"/>
      <c r="B11" s="60"/>
      <c r="C11" s="44"/>
      <c r="D11" s="44"/>
      <c r="E11" s="44"/>
      <c r="F11" s="44"/>
      <c r="G11" s="44"/>
      <c r="H11" s="44"/>
      <c r="I11" s="44"/>
      <c r="J11" s="44"/>
      <c r="K11" s="78"/>
    </row>
    <row r="12" spans="1:11">
      <c r="A12" s="62" t="s">
        <v>70</v>
      </c>
      <c r="B12" s="27">
        <v>0.1</v>
      </c>
      <c r="C12" s="44"/>
      <c r="D12" s="44"/>
      <c r="E12" s="44"/>
      <c r="F12" s="44"/>
      <c r="G12" s="65"/>
      <c r="H12" s="65"/>
      <c r="I12" s="54"/>
      <c r="J12" s="65"/>
      <c r="K12" s="78"/>
    </row>
    <row r="13" spans="1:11">
      <c r="A13" s="19" t="s">
        <v>52</v>
      </c>
      <c r="B13" s="27">
        <v>0.1</v>
      </c>
      <c r="C13" s="44"/>
      <c r="D13" s="44"/>
      <c r="E13" s="44"/>
      <c r="F13" s="44"/>
      <c r="G13" s="65"/>
      <c r="H13" s="65"/>
      <c r="I13" s="65"/>
      <c r="J13" s="65"/>
      <c r="K13" s="78"/>
    </row>
    <row r="14" spans="1:11">
      <c r="A14" s="66"/>
      <c r="B14" s="65"/>
      <c r="C14" s="44"/>
      <c r="D14" s="44"/>
      <c r="E14" s="44"/>
      <c r="F14" s="44"/>
      <c r="G14" s="65"/>
      <c r="H14" s="65"/>
      <c r="I14" s="65"/>
      <c r="J14" s="65"/>
      <c r="K14" s="78"/>
    </row>
    <row r="15" spans="1:11">
      <c r="A15" s="92" t="s">
        <v>78</v>
      </c>
      <c r="B15" s="23"/>
      <c r="C15" s="69" t="s">
        <v>62</v>
      </c>
      <c r="D15" s="49">
        <v>5</v>
      </c>
      <c r="E15" s="69" t="s">
        <v>75</v>
      </c>
      <c r="F15" s="78"/>
      <c r="G15" s="75"/>
      <c r="H15" s="75"/>
      <c r="I15" s="75"/>
      <c r="J15" s="75"/>
      <c r="K15" s="78"/>
    </row>
    <row r="16" spans="1:11">
      <c r="A16" s="92" t="s">
        <v>78</v>
      </c>
      <c r="B16" s="23"/>
      <c r="C16" s="69" t="s">
        <v>62</v>
      </c>
      <c r="D16" s="49">
        <v>10</v>
      </c>
      <c r="E16" s="69" t="s">
        <v>75</v>
      </c>
      <c r="F16" s="78"/>
      <c r="G16" s="75"/>
      <c r="H16" s="75"/>
      <c r="I16" s="75"/>
      <c r="J16" s="75"/>
      <c r="K16" s="78"/>
    </row>
    <row r="17" spans="1:11">
      <c r="A17" s="100"/>
      <c r="B17" s="100"/>
      <c r="C17" s="100"/>
      <c r="D17" s="100"/>
      <c r="E17" s="82"/>
      <c r="F17" s="82"/>
      <c r="G17" s="82"/>
      <c r="H17" s="82"/>
      <c r="I17" s="82"/>
      <c r="J17" s="82"/>
      <c r="K17" s="78"/>
    </row>
    <row r="18" spans="1:11">
      <c r="A18" s="100"/>
      <c r="B18" s="100"/>
      <c r="C18" s="100"/>
      <c r="D18" s="100"/>
      <c r="E18" s="82"/>
      <c r="F18" s="82"/>
      <c r="G18" s="82"/>
      <c r="H18" s="82"/>
      <c r="I18" s="82"/>
      <c r="J18" s="82"/>
      <c r="K18" s="78"/>
    </row>
    <row r="19" spans="1:11">
      <c r="A19" s="100"/>
      <c r="B19" s="100"/>
      <c r="C19" s="100"/>
      <c r="D19" s="100"/>
      <c r="E19" s="82"/>
      <c r="F19" s="82"/>
      <c r="G19" s="82"/>
      <c r="H19" s="82"/>
      <c r="I19" s="82"/>
      <c r="J19" s="82"/>
      <c r="K19" s="78"/>
    </row>
    <row r="20" spans="1:11">
      <c r="A20" s="82"/>
      <c r="B20" s="100"/>
      <c r="C20" s="100"/>
      <c r="D20" s="100"/>
      <c r="E20" s="82"/>
      <c r="F20" s="82"/>
      <c r="G20" s="82"/>
      <c r="H20" s="82"/>
      <c r="I20" s="82"/>
      <c r="J20" s="82"/>
      <c r="K20" s="78"/>
    </row>
    <row r="21" spans="1:11">
      <c r="A21" s="101"/>
      <c r="B21" s="100"/>
      <c r="C21" s="100"/>
      <c r="D21" s="100"/>
      <c r="E21" s="82"/>
      <c r="F21" s="82"/>
      <c r="G21" s="82"/>
      <c r="H21" s="82"/>
      <c r="I21" s="82"/>
      <c r="J21" s="82"/>
      <c r="K21" s="78"/>
    </row>
    <row r="22" spans="1:11">
      <c r="A22" s="128" t="s">
        <v>79</v>
      </c>
      <c r="B22" s="128"/>
      <c r="C22" s="100"/>
      <c r="D22" s="100"/>
      <c r="E22" s="82"/>
      <c r="F22" s="82"/>
      <c r="G22" s="82"/>
      <c r="H22" s="82"/>
      <c r="I22" s="82"/>
      <c r="J22" s="78"/>
      <c r="K22" s="78"/>
    </row>
    <row r="23" spans="1:11">
      <c r="A23" s="97" t="s">
        <v>80</v>
      </c>
      <c r="B23" s="52">
        <f>summary!B8</f>
        <v>60618.204603828213</v>
      </c>
      <c r="C23" s="103"/>
      <c r="D23" s="100"/>
      <c r="E23" s="100"/>
      <c r="F23" s="100"/>
      <c r="G23" s="100"/>
      <c r="H23" s="100"/>
      <c r="I23" s="100"/>
    </row>
    <row r="24" spans="1:11">
      <c r="A24" s="98" t="s">
        <v>89</v>
      </c>
      <c r="B24" s="51">
        <f>invest</f>
        <v>45489.214414916692</v>
      </c>
      <c r="C24" s="106"/>
      <c r="D24" s="100"/>
      <c r="E24" s="100"/>
      <c r="F24" s="100"/>
      <c r="G24" s="100"/>
      <c r="H24" s="100"/>
      <c r="I24" s="100"/>
    </row>
    <row r="25" spans="1:11">
      <c r="A25" s="69" t="s">
        <v>81</v>
      </c>
      <c r="B25" s="99">
        <f>IF(B24&lt;B23,(B23-B24)/B23,"NA")</f>
        <v>0.24957832861905782</v>
      </c>
      <c r="C25" s="100"/>
      <c r="D25" s="100"/>
      <c r="E25" s="100"/>
      <c r="F25" s="100"/>
      <c r="G25" s="100"/>
      <c r="H25" s="100"/>
      <c r="I25" s="100"/>
    </row>
    <row r="26" spans="1:11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11">
      <c r="A27" s="100"/>
      <c r="B27" s="100"/>
      <c r="C27" s="100"/>
      <c r="D27" s="100"/>
      <c r="E27" s="100"/>
    </row>
    <row r="28" spans="1:11">
      <c r="A28" s="100"/>
      <c r="B28" s="100"/>
      <c r="C28" s="100"/>
      <c r="D28" s="100"/>
      <c r="E28" s="100"/>
    </row>
  </sheetData>
  <mergeCells count="2">
    <mergeCell ref="A1:B1"/>
    <mergeCell ref="A22:B2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L1:S100"/>
  <sheetViews>
    <sheetView topLeftCell="M1" zoomScaleNormal="100" workbookViewId="0">
      <pane ySplit="2" topLeftCell="A15" activePane="bottomLeft" state="frozen"/>
      <selection activeCell="M1" sqref="M1"/>
      <selection pane="bottomLeft" activeCell="S4" sqref="S4"/>
    </sheetView>
  </sheetViews>
  <sheetFormatPr defaultRowHeight="14.4"/>
  <cols>
    <col min="1" max="11" width="0" hidden="1" customWidth="1"/>
    <col min="12" max="12" width="13.109375" style="48" hidden="1" customWidth="1"/>
    <col min="13" max="13" width="4.88671875" style="55" bestFit="1" customWidth="1"/>
    <col min="14" max="14" width="12" style="48" bestFit="1" customWidth="1"/>
    <col min="15" max="16" width="10" style="48" hidden="1" customWidth="1"/>
    <col min="17" max="17" width="10" style="35" bestFit="1" customWidth="1"/>
    <col min="18" max="18" width="11.33203125" style="55" bestFit="1" customWidth="1"/>
    <col min="19" max="19" width="10.6640625" style="48" bestFit="1" customWidth="1"/>
  </cols>
  <sheetData>
    <row r="1" spans="12:19">
      <c r="L1" s="33">
        <v>45489.214414916692</v>
      </c>
      <c r="M1" s="34" t="s">
        <v>54</v>
      </c>
      <c r="N1" s="34" t="s">
        <v>72</v>
      </c>
      <c r="O1" s="34"/>
      <c r="P1" s="34"/>
      <c r="Q1" s="34" t="s">
        <v>71</v>
      </c>
      <c r="R1" s="34" t="s">
        <v>55</v>
      </c>
      <c r="S1" s="34" t="s">
        <v>56</v>
      </c>
    </row>
    <row r="2" spans="12:19">
      <c r="L2" s="56">
        <f>Retirement!B28</f>
        <v>70932266.336352453</v>
      </c>
      <c r="M2" s="34"/>
      <c r="N2" s="34" t="s">
        <v>58</v>
      </c>
      <c r="O2" s="34"/>
      <c r="P2" s="34"/>
      <c r="Q2" s="34" t="s">
        <v>58</v>
      </c>
      <c r="R2" s="34"/>
      <c r="S2" s="34"/>
    </row>
    <row r="3" spans="12:19">
      <c r="L3" s="33">
        <f>Retirement!B9</f>
        <v>25</v>
      </c>
      <c r="M3" s="39">
        <v>1</v>
      </c>
      <c r="N3" s="111">
        <f t="shared" ref="N3:N34" si="0">IF(M3=0,0,invest*(1+increment)^(M3-1))</f>
        <v>45489.214414916692</v>
      </c>
      <c r="O3" s="39">
        <f>IF(ISERROR(IF(M3="","",IF(M3=loany1,loansip1,IF(O2=loansip1,loansip1,0)))+IF(M3="","",IF(M3=loany2,loansip2,IF(P2=loansip2,loansip2,0)))),"",IF(M3="","",IF(M3=loany1,loansip1,IF(O2=loansip1,loansip1,0)))+IF(M3="","",IF(M3=loany2,loansip2,IF(P2=loansip2,loansip2,0))))</f>
        <v>0</v>
      </c>
      <c r="P3" s="39">
        <f t="shared" ref="P3:P34" si="1">IF(M3="","",IF(M3=loany2,loansip2,IF(P2=loansip2,loansip2,0)))</f>
        <v>0</v>
      </c>
      <c r="Q3" s="41">
        <f t="shared" ref="Q3:Q34" si="2">IF(ISERROR(IF(M3=0,0,IF(M3=loany1,loansip1,IF(O2=loansip1,loansip1,0)))+IF(M3=0,0,IF(M3=loany2,loansip2,IF(P2=loansip2,loansip2,0)))),"",IF(M3=0,0,IF(M3=loany1,loansip1,IF(O2=loansip1,loansip1,0)))+IF(M3=0,0,IF(M3=loany2,loansip2,IF(P2=loansip2,loansip2,0))))</f>
        <v>0</v>
      </c>
      <c r="R3" s="40">
        <f t="shared" ref="R3:R34" si="3">IF(M3=ygoal1,goal1,IF(M3=ygoal2,goal2,IF(M3=ygoal3,goal3,IF(M3=ygoal4,goal4,IF(M3=ygoal5,goal5,0)))))</f>
        <v>0</v>
      </c>
      <c r="S3" s="40">
        <f t="shared" ref="S3:S34" si="4">IF(M3=0,0,((N3+Q3)*12+(S2-R2))*(1+interest))</f>
        <v>600457.63027690037</v>
      </c>
    </row>
    <row r="4" spans="12:19">
      <c r="L4" s="46"/>
      <c r="M4" s="39">
        <f>IF(M3=$L$3,NA(),IF(M3=0,0,IF(M3&gt;=$L$3,"",M3+1)))</f>
        <v>2</v>
      </c>
      <c r="N4" s="40">
        <f t="shared" si="0"/>
        <v>50038.135856408364</v>
      </c>
      <c r="O4" s="39">
        <f t="shared" ref="O4:O35" si="5">IF(M4="","",IF(M4=loany1,loansip1,IF(O3=loansip1,loansip1,0)))</f>
        <v>0</v>
      </c>
      <c r="P4" s="39">
        <f t="shared" si="1"/>
        <v>0</v>
      </c>
      <c r="Q4" s="41">
        <f t="shared" si="2"/>
        <v>0</v>
      </c>
      <c r="R4" s="40">
        <f t="shared" si="3"/>
        <v>0</v>
      </c>
      <c r="S4" s="40">
        <f t="shared" si="4"/>
        <v>1321006.786609181</v>
      </c>
    </row>
    <row r="5" spans="12:19">
      <c r="L5" s="46"/>
      <c r="M5" s="39">
        <f t="shared" ref="M5:M36" si="6">IF(M4=$L$3,0,IF(M4=0,0,IF(M4&gt;=$L$3,"",M4+1)))</f>
        <v>3</v>
      </c>
      <c r="N5" s="40">
        <f t="shared" si="0"/>
        <v>55041.949442049205</v>
      </c>
      <c r="O5" s="39">
        <f t="shared" si="5"/>
        <v>0</v>
      </c>
      <c r="P5" s="39">
        <f t="shared" si="1"/>
        <v>0</v>
      </c>
      <c r="Q5" s="41">
        <f t="shared" si="2"/>
        <v>0</v>
      </c>
      <c r="R5" s="40">
        <f t="shared" si="3"/>
        <v>0</v>
      </c>
      <c r="S5" s="40">
        <f t="shared" si="4"/>
        <v>2179661.1979051488</v>
      </c>
    </row>
    <row r="6" spans="12:19">
      <c r="L6" s="33"/>
      <c r="M6" s="39">
        <f t="shared" si="6"/>
        <v>4</v>
      </c>
      <c r="N6" s="40">
        <f t="shared" si="0"/>
        <v>60546.144386254135</v>
      </c>
      <c r="O6" s="39">
        <f t="shared" si="5"/>
        <v>0</v>
      </c>
      <c r="P6" s="39">
        <f t="shared" si="1"/>
        <v>0</v>
      </c>
      <c r="Q6" s="41">
        <f t="shared" si="2"/>
        <v>0</v>
      </c>
      <c r="R6" s="40">
        <f t="shared" si="3"/>
        <v>0</v>
      </c>
      <c r="S6" s="40">
        <f t="shared" si="4"/>
        <v>3196836.4235942187</v>
      </c>
    </row>
    <row r="7" spans="12:19">
      <c r="L7" s="33"/>
      <c r="M7" s="39">
        <f t="shared" si="6"/>
        <v>5</v>
      </c>
      <c r="N7" s="40">
        <f t="shared" si="0"/>
        <v>66600.758824879551</v>
      </c>
      <c r="O7" s="39">
        <f t="shared" si="5"/>
        <v>0</v>
      </c>
      <c r="P7" s="39">
        <f t="shared" si="1"/>
        <v>0</v>
      </c>
      <c r="Q7" s="41">
        <f t="shared" si="2"/>
        <v>0</v>
      </c>
      <c r="R7" s="40">
        <f t="shared" si="3"/>
        <v>0</v>
      </c>
      <c r="S7" s="40">
        <f t="shared" si="4"/>
        <v>4395650.0824420508</v>
      </c>
    </row>
    <row r="8" spans="12:19">
      <c r="L8" s="33"/>
      <c r="M8" s="39">
        <f t="shared" si="6"/>
        <v>6</v>
      </c>
      <c r="N8" s="40">
        <f t="shared" si="0"/>
        <v>73260.83470736751</v>
      </c>
      <c r="O8" s="39">
        <f t="shared" si="5"/>
        <v>0</v>
      </c>
      <c r="P8" s="39">
        <f t="shared" si="1"/>
        <v>0</v>
      </c>
      <c r="Q8" s="41">
        <f t="shared" si="2"/>
        <v>0</v>
      </c>
      <c r="R8" s="40">
        <f t="shared" si="3"/>
        <v>1771561.0000000009</v>
      </c>
      <c r="S8" s="40">
        <f t="shared" si="4"/>
        <v>5802258.108823508</v>
      </c>
    </row>
    <row r="9" spans="12:19">
      <c r="L9" s="33"/>
      <c r="M9" s="39">
        <f t="shared" si="6"/>
        <v>7</v>
      </c>
      <c r="N9" s="40">
        <f t="shared" si="0"/>
        <v>80586.918178104272</v>
      </c>
      <c r="O9" s="39">
        <f t="shared" si="5"/>
        <v>0</v>
      </c>
      <c r="P9" s="39">
        <f t="shared" si="1"/>
        <v>0</v>
      </c>
      <c r="Q9" s="41">
        <f t="shared" si="2"/>
        <v>0</v>
      </c>
      <c r="R9" s="40">
        <f t="shared" si="3"/>
        <v>0</v>
      </c>
      <c r="S9" s="40">
        <f t="shared" si="4"/>
        <v>5497514.1396568343</v>
      </c>
    </row>
    <row r="10" spans="12:19">
      <c r="L10" s="33"/>
      <c r="M10" s="39">
        <f t="shared" si="6"/>
        <v>8</v>
      </c>
      <c r="N10" s="40">
        <f t="shared" si="0"/>
        <v>88645.60999591471</v>
      </c>
      <c r="O10" s="39">
        <f t="shared" si="5"/>
        <v>0</v>
      </c>
      <c r="P10" s="39">
        <f t="shared" si="1"/>
        <v>0</v>
      </c>
      <c r="Q10" s="41">
        <f t="shared" si="2"/>
        <v>0</v>
      </c>
      <c r="R10" s="40">
        <f t="shared" si="3"/>
        <v>0</v>
      </c>
      <c r="S10" s="40">
        <f t="shared" si="4"/>
        <v>7217387.6055685924</v>
      </c>
    </row>
    <row r="11" spans="12:19">
      <c r="L11" s="33"/>
      <c r="M11" s="39">
        <f t="shared" si="6"/>
        <v>9</v>
      </c>
      <c r="N11" s="40">
        <f t="shared" si="0"/>
        <v>97510.170995506167</v>
      </c>
      <c r="O11" s="39">
        <f t="shared" si="5"/>
        <v>0</v>
      </c>
      <c r="P11" s="39">
        <f t="shared" si="1"/>
        <v>0</v>
      </c>
      <c r="Q11" s="41">
        <f t="shared" si="2"/>
        <v>0</v>
      </c>
      <c r="R11" s="40">
        <f t="shared" si="3"/>
        <v>0</v>
      </c>
      <c r="S11" s="40">
        <f t="shared" si="4"/>
        <v>9226260.6232661344</v>
      </c>
    </row>
    <row r="12" spans="12:19">
      <c r="L12" s="47">
        <f>Retirement!B38</f>
        <v>17120.491596966061</v>
      </c>
      <c r="M12" s="39">
        <f t="shared" si="6"/>
        <v>10</v>
      </c>
      <c r="N12" s="40">
        <f t="shared" si="0"/>
        <v>107261.1880950568</v>
      </c>
      <c r="O12" s="39">
        <f t="shared" si="5"/>
        <v>0</v>
      </c>
      <c r="P12" s="39">
        <f t="shared" si="1"/>
        <v>0</v>
      </c>
      <c r="Q12" s="41">
        <f t="shared" si="2"/>
        <v>0</v>
      </c>
      <c r="R12" s="40">
        <f t="shared" si="3"/>
        <v>0</v>
      </c>
      <c r="S12" s="40">
        <f t="shared" si="4"/>
        <v>11564734.368447497</v>
      </c>
    </row>
    <row r="13" spans="12:19">
      <c r="L13" s="33"/>
      <c r="M13" s="39">
        <f t="shared" si="6"/>
        <v>11</v>
      </c>
      <c r="N13" s="40">
        <f t="shared" si="0"/>
        <v>117987.30690456249</v>
      </c>
      <c r="O13" s="39">
        <f t="shared" si="5"/>
        <v>0</v>
      </c>
      <c r="P13" s="39">
        <f t="shared" si="1"/>
        <v>0</v>
      </c>
      <c r="Q13" s="41">
        <f t="shared" si="2"/>
        <v>0</v>
      </c>
      <c r="R13" s="40">
        <f t="shared" si="3"/>
        <v>0</v>
      </c>
      <c r="S13" s="40">
        <f t="shared" si="4"/>
        <v>14278640.256432472</v>
      </c>
    </row>
    <row r="14" spans="12:19">
      <c r="L14" s="33"/>
      <c r="M14" s="39">
        <f t="shared" si="6"/>
        <v>12</v>
      </c>
      <c r="N14" s="40">
        <f t="shared" si="0"/>
        <v>129786.03759501876</v>
      </c>
      <c r="O14" s="39">
        <f t="shared" si="5"/>
        <v>0</v>
      </c>
      <c r="P14" s="39">
        <f t="shared" si="1"/>
        <v>0</v>
      </c>
      <c r="Q14" s="41">
        <f t="shared" si="2"/>
        <v>0</v>
      </c>
      <c r="R14" s="40">
        <f t="shared" si="3"/>
        <v>7846070.9418025063</v>
      </c>
      <c r="S14" s="40">
        <f t="shared" si="4"/>
        <v>17419679.978329968</v>
      </c>
    </row>
    <row r="15" spans="12:19">
      <c r="L15" s="33"/>
      <c r="M15" s="39">
        <f t="shared" si="6"/>
        <v>13</v>
      </c>
      <c r="N15" s="40">
        <f t="shared" si="0"/>
        <v>142764.64135452063</v>
      </c>
      <c r="O15" s="39">
        <f t="shared" si="5"/>
        <v>0</v>
      </c>
      <c r="P15" s="39">
        <f t="shared" si="1"/>
        <v>0</v>
      </c>
      <c r="Q15" s="41">
        <f t="shared" si="2"/>
        <v>0</v>
      </c>
      <c r="R15" s="40">
        <f t="shared" si="3"/>
        <v>0</v>
      </c>
      <c r="S15" s="40">
        <f t="shared" si="4"/>
        <v>12415463.206059882</v>
      </c>
    </row>
    <row r="16" spans="12:19">
      <c r="L16" s="33"/>
      <c r="M16" s="39">
        <f t="shared" si="6"/>
        <v>14</v>
      </c>
      <c r="N16" s="40">
        <f t="shared" si="0"/>
        <v>157041.10548997269</v>
      </c>
      <c r="O16" s="39">
        <f t="shared" si="5"/>
        <v>0</v>
      </c>
      <c r="P16" s="39">
        <f t="shared" si="1"/>
        <v>0</v>
      </c>
      <c r="Q16" s="41">
        <f t="shared" si="2"/>
        <v>0</v>
      </c>
      <c r="R16" s="40">
        <f t="shared" si="3"/>
        <v>9493745.8395810351</v>
      </c>
      <c r="S16" s="40">
        <f t="shared" si="4"/>
        <v>15729952.119133512</v>
      </c>
    </row>
    <row r="17" spans="12:19">
      <c r="L17" s="33"/>
      <c r="M17" s="39">
        <f t="shared" si="6"/>
        <v>15</v>
      </c>
      <c r="N17" s="40">
        <f t="shared" si="0"/>
        <v>172745.21603896999</v>
      </c>
      <c r="O17" s="39">
        <f t="shared" si="5"/>
        <v>0</v>
      </c>
      <c r="P17" s="39">
        <f t="shared" si="1"/>
        <v>0</v>
      </c>
      <c r="Q17" s="41">
        <f t="shared" si="2"/>
        <v>0</v>
      </c>
      <c r="R17" s="40">
        <f t="shared" si="3"/>
        <v>0</v>
      </c>
      <c r="S17" s="40">
        <f t="shared" si="4"/>
        <v>9140063.7592221275</v>
      </c>
    </row>
    <row r="18" spans="12:19">
      <c r="L18" s="33"/>
      <c r="M18" s="39">
        <f t="shared" si="6"/>
        <v>16</v>
      </c>
      <c r="N18" s="40">
        <f t="shared" si="0"/>
        <v>190019.737642867</v>
      </c>
      <c r="O18" s="39">
        <f t="shared" si="5"/>
        <v>0</v>
      </c>
      <c r="P18" s="39">
        <f t="shared" si="1"/>
        <v>0</v>
      </c>
      <c r="Q18" s="41">
        <f t="shared" si="2"/>
        <v>0</v>
      </c>
      <c r="R18" s="40">
        <f t="shared" si="3"/>
        <v>0</v>
      </c>
      <c r="S18" s="40">
        <f t="shared" si="4"/>
        <v>12562330.672030186</v>
      </c>
    </row>
    <row r="19" spans="12:19">
      <c r="L19" s="33"/>
      <c r="M19" s="39">
        <f t="shared" si="6"/>
        <v>17</v>
      </c>
      <c r="N19" s="40">
        <f t="shared" si="0"/>
        <v>209021.71140715369</v>
      </c>
      <c r="O19" s="39">
        <f t="shared" si="5"/>
        <v>0</v>
      </c>
      <c r="P19" s="39">
        <f t="shared" si="1"/>
        <v>0</v>
      </c>
      <c r="Q19" s="41">
        <f t="shared" si="2"/>
        <v>0</v>
      </c>
      <c r="R19" s="40">
        <f t="shared" si="3"/>
        <v>0</v>
      </c>
      <c r="S19" s="40">
        <f t="shared" si="4"/>
        <v>16577650.329807635</v>
      </c>
    </row>
    <row r="20" spans="12:19">
      <c r="L20" s="33"/>
      <c r="M20" s="39">
        <f t="shared" si="6"/>
        <v>18</v>
      </c>
      <c r="N20" s="40">
        <f t="shared" si="0"/>
        <v>229923.88254786909</v>
      </c>
      <c r="O20" s="39">
        <f t="shared" si="5"/>
        <v>0</v>
      </c>
      <c r="P20" s="39">
        <f t="shared" si="1"/>
        <v>0</v>
      </c>
      <c r="Q20" s="41">
        <f t="shared" si="2"/>
        <v>0</v>
      </c>
      <c r="R20" s="40">
        <f t="shared" si="3"/>
        <v>0</v>
      </c>
      <c r="S20" s="40">
        <f t="shared" si="4"/>
        <v>21270410.612420272</v>
      </c>
    </row>
    <row r="21" spans="12:19">
      <c r="L21" s="33"/>
      <c r="M21" s="39">
        <f t="shared" si="6"/>
        <v>19</v>
      </c>
      <c r="N21" s="40">
        <f t="shared" si="0"/>
        <v>252916.27080265601</v>
      </c>
      <c r="O21" s="39">
        <f t="shared" si="5"/>
        <v>0</v>
      </c>
      <c r="P21" s="39">
        <f t="shared" si="1"/>
        <v>0</v>
      </c>
      <c r="Q21" s="41">
        <f t="shared" si="2"/>
        <v>0</v>
      </c>
      <c r="R21" s="40">
        <f t="shared" si="3"/>
        <v>0</v>
      </c>
      <c r="S21" s="40">
        <f t="shared" si="4"/>
        <v>26735946.448257361</v>
      </c>
    </row>
    <row r="22" spans="12:19">
      <c r="L22" s="33"/>
      <c r="M22" s="39">
        <f t="shared" si="6"/>
        <v>20</v>
      </c>
      <c r="N22" s="40">
        <f t="shared" si="0"/>
        <v>278207.89788292168</v>
      </c>
      <c r="O22" s="39">
        <f t="shared" si="5"/>
        <v>0</v>
      </c>
      <c r="P22" s="39">
        <f t="shared" si="1"/>
        <v>0</v>
      </c>
      <c r="Q22" s="41">
        <f t="shared" si="2"/>
        <v>0</v>
      </c>
      <c r="R22" s="40">
        <f t="shared" si="3"/>
        <v>6727499.949325609</v>
      </c>
      <c r="S22" s="40">
        <f t="shared" si="4"/>
        <v>33081885.345137663</v>
      </c>
    </row>
    <row r="23" spans="12:19">
      <c r="L23" s="33"/>
      <c r="M23" s="39">
        <f t="shared" si="6"/>
        <v>21</v>
      </c>
      <c r="N23" s="40">
        <f t="shared" si="0"/>
        <v>306028.68767121382</v>
      </c>
      <c r="O23" s="39">
        <f t="shared" si="5"/>
        <v>0</v>
      </c>
      <c r="P23" s="39">
        <f t="shared" si="1"/>
        <v>0</v>
      </c>
      <c r="Q23" s="41">
        <f t="shared" si="2"/>
        <v>0</v>
      </c>
      <c r="R23" s="40">
        <f t="shared" si="3"/>
        <v>0</v>
      </c>
      <c r="S23" s="40">
        <f t="shared" si="4"/>
        <v>33029402.612653282</v>
      </c>
    </row>
    <row r="24" spans="12:19">
      <c r="M24" s="39">
        <f t="shared" si="6"/>
        <v>22</v>
      </c>
      <c r="N24" s="40">
        <f t="shared" si="0"/>
        <v>336631.55643833522</v>
      </c>
      <c r="O24" s="39">
        <f t="shared" si="5"/>
        <v>0</v>
      </c>
      <c r="P24" s="39">
        <f t="shared" si="1"/>
        <v>0</v>
      </c>
      <c r="Q24" s="41">
        <f t="shared" si="2"/>
        <v>0</v>
      </c>
      <c r="R24" s="40">
        <f t="shared" si="3"/>
        <v>814027.49386839895</v>
      </c>
      <c r="S24" s="40">
        <f t="shared" si="4"/>
        <v>40775879.41890464</v>
      </c>
    </row>
    <row r="25" spans="12:19">
      <c r="M25" s="39">
        <f t="shared" si="6"/>
        <v>23</v>
      </c>
      <c r="N25" s="40">
        <f t="shared" si="0"/>
        <v>370294.71208216879</v>
      </c>
      <c r="O25" s="39">
        <f t="shared" si="5"/>
        <v>0</v>
      </c>
      <c r="P25" s="39">
        <f t="shared" si="1"/>
        <v>0</v>
      </c>
      <c r="Q25" s="41">
        <f t="shared" si="2"/>
        <v>0</v>
      </c>
      <c r="R25" s="40">
        <f t="shared" si="3"/>
        <v>0</v>
      </c>
      <c r="S25" s="40">
        <f t="shared" si="4"/>
        <v>48845927.317024499</v>
      </c>
    </row>
    <row r="26" spans="12:19">
      <c r="M26" s="39">
        <f t="shared" si="6"/>
        <v>24</v>
      </c>
      <c r="N26" s="40">
        <f t="shared" si="0"/>
        <v>407324.1832903857</v>
      </c>
      <c r="O26" s="39">
        <f t="shared" si="5"/>
        <v>0</v>
      </c>
      <c r="P26" s="39">
        <f t="shared" si="1"/>
        <v>0</v>
      </c>
      <c r="Q26" s="41">
        <f t="shared" si="2"/>
        <v>0</v>
      </c>
      <c r="R26" s="40">
        <f t="shared" si="3"/>
        <v>0</v>
      </c>
      <c r="S26" s="40">
        <f t="shared" si="4"/>
        <v>59107199.268160045</v>
      </c>
    </row>
    <row r="27" spans="12:19">
      <c r="M27" s="39">
        <f t="shared" si="6"/>
        <v>25</v>
      </c>
      <c r="N27" s="40">
        <f t="shared" si="0"/>
        <v>448056.60161942424</v>
      </c>
      <c r="O27" s="39">
        <f t="shared" si="5"/>
        <v>0</v>
      </c>
      <c r="P27" s="39">
        <f t="shared" si="1"/>
        <v>0</v>
      </c>
      <c r="Q27" s="41">
        <f t="shared" si="2"/>
        <v>0</v>
      </c>
      <c r="R27" s="40">
        <f t="shared" si="3"/>
        <v>0</v>
      </c>
      <c r="S27" s="83">
        <f t="shared" si="4"/>
        <v>70932266.336352453</v>
      </c>
    </row>
    <row r="28" spans="12:19">
      <c r="M28" s="39">
        <f t="shared" si="6"/>
        <v>0</v>
      </c>
      <c r="N28" s="40">
        <f t="shared" si="0"/>
        <v>0</v>
      </c>
      <c r="O28" s="39">
        <f t="shared" si="5"/>
        <v>0</v>
      </c>
      <c r="P28" s="39">
        <f t="shared" si="1"/>
        <v>0</v>
      </c>
      <c r="Q28" s="41">
        <f t="shared" si="2"/>
        <v>0</v>
      </c>
      <c r="R28" s="40">
        <f t="shared" si="3"/>
        <v>0</v>
      </c>
      <c r="S28" s="40">
        <f t="shared" si="4"/>
        <v>0</v>
      </c>
    </row>
    <row r="29" spans="12:19">
      <c r="M29" s="39">
        <f t="shared" si="6"/>
        <v>0</v>
      </c>
      <c r="N29" s="40">
        <f t="shared" si="0"/>
        <v>0</v>
      </c>
      <c r="O29" s="39">
        <f t="shared" si="5"/>
        <v>0</v>
      </c>
      <c r="P29" s="39">
        <f t="shared" si="1"/>
        <v>0</v>
      </c>
      <c r="Q29" s="41">
        <f t="shared" si="2"/>
        <v>0</v>
      </c>
      <c r="R29" s="40">
        <f t="shared" si="3"/>
        <v>0</v>
      </c>
      <c r="S29" s="40">
        <f t="shared" si="4"/>
        <v>0</v>
      </c>
    </row>
    <row r="30" spans="12:19">
      <c r="M30" s="39">
        <f t="shared" si="6"/>
        <v>0</v>
      </c>
      <c r="N30" s="40">
        <f t="shared" si="0"/>
        <v>0</v>
      </c>
      <c r="O30" s="39">
        <f t="shared" si="5"/>
        <v>0</v>
      </c>
      <c r="P30" s="39">
        <f t="shared" si="1"/>
        <v>0</v>
      </c>
      <c r="Q30" s="41">
        <f t="shared" si="2"/>
        <v>0</v>
      </c>
      <c r="R30" s="40">
        <f t="shared" si="3"/>
        <v>0</v>
      </c>
      <c r="S30" s="40">
        <f t="shared" si="4"/>
        <v>0</v>
      </c>
    </row>
    <row r="31" spans="12:19">
      <c r="M31" s="39">
        <f t="shared" si="6"/>
        <v>0</v>
      </c>
      <c r="N31" s="40">
        <f t="shared" si="0"/>
        <v>0</v>
      </c>
      <c r="O31" s="39">
        <f t="shared" si="5"/>
        <v>0</v>
      </c>
      <c r="P31" s="39">
        <f t="shared" si="1"/>
        <v>0</v>
      </c>
      <c r="Q31" s="41">
        <f t="shared" si="2"/>
        <v>0</v>
      </c>
      <c r="R31" s="40">
        <f t="shared" si="3"/>
        <v>0</v>
      </c>
      <c r="S31" s="40">
        <f t="shared" si="4"/>
        <v>0</v>
      </c>
    </row>
    <row r="32" spans="12:19">
      <c r="M32" s="39">
        <f t="shared" si="6"/>
        <v>0</v>
      </c>
      <c r="N32" s="40">
        <f t="shared" si="0"/>
        <v>0</v>
      </c>
      <c r="O32" s="39">
        <f t="shared" si="5"/>
        <v>0</v>
      </c>
      <c r="P32" s="39">
        <f t="shared" si="1"/>
        <v>0</v>
      </c>
      <c r="Q32" s="41">
        <f t="shared" si="2"/>
        <v>0</v>
      </c>
      <c r="R32" s="40">
        <f t="shared" si="3"/>
        <v>0</v>
      </c>
      <c r="S32" s="40">
        <f t="shared" si="4"/>
        <v>0</v>
      </c>
    </row>
    <row r="33" spans="13:19">
      <c r="M33" s="39">
        <f t="shared" si="6"/>
        <v>0</v>
      </c>
      <c r="N33" s="40">
        <f t="shared" si="0"/>
        <v>0</v>
      </c>
      <c r="O33" s="39">
        <f t="shared" si="5"/>
        <v>0</v>
      </c>
      <c r="P33" s="39">
        <f t="shared" si="1"/>
        <v>0</v>
      </c>
      <c r="Q33" s="41">
        <f t="shared" si="2"/>
        <v>0</v>
      </c>
      <c r="R33" s="40">
        <f t="shared" si="3"/>
        <v>0</v>
      </c>
      <c r="S33" s="40">
        <f t="shared" si="4"/>
        <v>0</v>
      </c>
    </row>
    <row r="34" spans="13:19">
      <c r="M34" s="39">
        <f t="shared" si="6"/>
        <v>0</v>
      </c>
      <c r="N34" s="40">
        <f t="shared" si="0"/>
        <v>0</v>
      </c>
      <c r="O34" s="39">
        <f t="shared" si="5"/>
        <v>0</v>
      </c>
      <c r="P34" s="39">
        <f t="shared" si="1"/>
        <v>0</v>
      </c>
      <c r="Q34" s="41">
        <f t="shared" si="2"/>
        <v>0</v>
      </c>
      <c r="R34" s="40">
        <f t="shared" si="3"/>
        <v>0</v>
      </c>
      <c r="S34" s="40">
        <f t="shared" si="4"/>
        <v>0</v>
      </c>
    </row>
    <row r="35" spans="13:19">
      <c r="M35" s="39">
        <f t="shared" si="6"/>
        <v>0</v>
      </c>
      <c r="N35" s="40">
        <f t="shared" ref="N35:N66" si="7">IF(M35=0,0,invest*(1+increment)^(M35-1))</f>
        <v>0</v>
      </c>
      <c r="O35" s="39">
        <f t="shared" si="5"/>
        <v>0</v>
      </c>
      <c r="P35" s="39">
        <f t="shared" ref="P35:P66" si="8">IF(M35="","",IF(M35=loany2,loansip2,IF(P34=loansip2,loansip2,0)))</f>
        <v>0</v>
      </c>
      <c r="Q35" s="41">
        <f t="shared" ref="Q35:Q66" si="9">IF(ISERROR(IF(M35=0,0,IF(M35=loany1,loansip1,IF(O34=loansip1,loansip1,0)))+IF(M35=0,0,IF(M35=loany2,loansip2,IF(P34=loansip2,loansip2,0)))),"",IF(M35=0,0,IF(M35=loany1,loansip1,IF(O34=loansip1,loansip1,0)))+IF(M35=0,0,IF(M35=loany2,loansip2,IF(P34=loansip2,loansip2,0))))</f>
        <v>0</v>
      </c>
      <c r="R35" s="40">
        <f t="shared" ref="R35:R66" si="10">IF(M35=ygoal1,goal1,IF(M35=ygoal2,goal2,IF(M35=ygoal3,goal3,IF(M35=ygoal4,goal4,IF(M35=ygoal5,goal5,0)))))</f>
        <v>0</v>
      </c>
      <c r="S35" s="40">
        <f t="shared" ref="S35:S66" si="11">IF(M35=0,0,((N35+Q35)*12+(S34-R34))*(1+interest))</f>
        <v>0</v>
      </c>
    </row>
    <row r="36" spans="13:19">
      <c r="M36" s="39">
        <f t="shared" si="6"/>
        <v>0</v>
      </c>
      <c r="N36" s="40">
        <f t="shared" si="7"/>
        <v>0</v>
      </c>
      <c r="O36" s="39">
        <f t="shared" ref="O36:O67" si="12">IF(M36="","",IF(M36=loany1,loansip1,IF(O35=loansip1,loansip1,0)))</f>
        <v>0</v>
      </c>
      <c r="P36" s="39">
        <f t="shared" si="8"/>
        <v>0</v>
      </c>
      <c r="Q36" s="41">
        <f t="shared" si="9"/>
        <v>0</v>
      </c>
      <c r="R36" s="40">
        <f t="shared" si="10"/>
        <v>0</v>
      </c>
      <c r="S36" s="40">
        <f t="shared" si="11"/>
        <v>0</v>
      </c>
    </row>
    <row r="37" spans="13:19">
      <c r="M37" s="39">
        <f t="shared" ref="M37:M68" si="13">IF(M36=$L$3,0,IF(M36=0,0,IF(M36&gt;=$L$3,"",M36+1)))</f>
        <v>0</v>
      </c>
      <c r="N37" s="40">
        <f t="shared" si="7"/>
        <v>0</v>
      </c>
      <c r="O37" s="39">
        <f t="shared" si="12"/>
        <v>0</v>
      </c>
      <c r="P37" s="39">
        <f t="shared" si="8"/>
        <v>0</v>
      </c>
      <c r="Q37" s="41">
        <f t="shared" si="9"/>
        <v>0</v>
      </c>
      <c r="R37" s="40">
        <f t="shared" si="10"/>
        <v>0</v>
      </c>
      <c r="S37" s="40">
        <f t="shared" si="11"/>
        <v>0</v>
      </c>
    </row>
    <row r="38" spans="13:19">
      <c r="M38" s="39">
        <f t="shared" si="13"/>
        <v>0</v>
      </c>
      <c r="N38" s="40">
        <f t="shared" si="7"/>
        <v>0</v>
      </c>
      <c r="O38" s="39">
        <f t="shared" si="12"/>
        <v>0</v>
      </c>
      <c r="P38" s="39">
        <f t="shared" si="8"/>
        <v>0</v>
      </c>
      <c r="Q38" s="41">
        <f t="shared" si="9"/>
        <v>0</v>
      </c>
      <c r="R38" s="40">
        <f t="shared" si="10"/>
        <v>0</v>
      </c>
      <c r="S38" s="40">
        <f t="shared" si="11"/>
        <v>0</v>
      </c>
    </row>
    <row r="39" spans="13:19">
      <c r="M39" s="39">
        <f t="shared" si="13"/>
        <v>0</v>
      </c>
      <c r="N39" s="40">
        <f t="shared" si="7"/>
        <v>0</v>
      </c>
      <c r="O39" s="39">
        <f t="shared" si="12"/>
        <v>0</v>
      </c>
      <c r="P39" s="39">
        <f t="shared" si="8"/>
        <v>0</v>
      </c>
      <c r="Q39" s="41">
        <f t="shared" si="9"/>
        <v>0</v>
      </c>
      <c r="R39" s="40">
        <f t="shared" si="10"/>
        <v>0</v>
      </c>
      <c r="S39" s="40">
        <f t="shared" si="11"/>
        <v>0</v>
      </c>
    </row>
    <row r="40" spans="13:19">
      <c r="M40" s="39">
        <f t="shared" si="13"/>
        <v>0</v>
      </c>
      <c r="N40" s="40">
        <f t="shared" si="7"/>
        <v>0</v>
      </c>
      <c r="O40" s="39">
        <f t="shared" si="12"/>
        <v>0</v>
      </c>
      <c r="P40" s="39">
        <f t="shared" si="8"/>
        <v>0</v>
      </c>
      <c r="Q40" s="41">
        <f t="shared" si="9"/>
        <v>0</v>
      </c>
      <c r="R40" s="40">
        <f t="shared" si="10"/>
        <v>0</v>
      </c>
      <c r="S40" s="40">
        <f t="shared" si="11"/>
        <v>0</v>
      </c>
    </row>
    <row r="41" spans="13:19">
      <c r="M41" s="39">
        <f t="shared" si="13"/>
        <v>0</v>
      </c>
      <c r="N41" s="40">
        <f t="shared" si="7"/>
        <v>0</v>
      </c>
      <c r="O41" s="39">
        <f t="shared" si="12"/>
        <v>0</v>
      </c>
      <c r="P41" s="39">
        <f t="shared" si="8"/>
        <v>0</v>
      </c>
      <c r="Q41" s="41">
        <f t="shared" si="9"/>
        <v>0</v>
      </c>
      <c r="R41" s="40">
        <f t="shared" si="10"/>
        <v>0</v>
      </c>
      <c r="S41" s="40">
        <f t="shared" si="11"/>
        <v>0</v>
      </c>
    </row>
    <row r="42" spans="13:19">
      <c r="M42" s="39">
        <f t="shared" si="13"/>
        <v>0</v>
      </c>
      <c r="N42" s="40">
        <f t="shared" si="7"/>
        <v>0</v>
      </c>
      <c r="O42" s="39">
        <f t="shared" si="12"/>
        <v>0</v>
      </c>
      <c r="P42" s="39">
        <f t="shared" si="8"/>
        <v>0</v>
      </c>
      <c r="Q42" s="41">
        <f t="shared" si="9"/>
        <v>0</v>
      </c>
      <c r="R42" s="40">
        <f t="shared" si="10"/>
        <v>0</v>
      </c>
      <c r="S42" s="40">
        <f t="shared" si="11"/>
        <v>0</v>
      </c>
    </row>
    <row r="43" spans="13:19">
      <c r="M43" s="39">
        <f t="shared" si="13"/>
        <v>0</v>
      </c>
      <c r="N43" s="40">
        <f t="shared" si="7"/>
        <v>0</v>
      </c>
      <c r="O43" s="39">
        <f t="shared" si="12"/>
        <v>0</v>
      </c>
      <c r="P43" s="39">
        <f t="shared" si="8"/>
        <v>0</v>
      </c>
      <c r="Q43" s="41">
        <f t="shared" si="9"/>
        <v>0</v>
      </c>
      <c r="R43" s="40">
        <f t="shared" si="10"/>
        <v>0</v>
      </c>
      <c r="S43" s="40">
        <f t="shared" si="11"/>
        <v>0</v>
      </c>
    </row>
    <row r="44" spans="13:19">
      <c r="M44" s="39">
        <f t="shared" si="13"/>
        <v>0</v>
      </c>
      <c r="N44" s="40">
        <f t="shared" si="7"/>
        <v>0</v>
      </c>
      <c r="O44" s="39">
        <f t="shared" si="12"/>
        <v>0</v>
      </c>
      <c r="P44" s="39">
        <f t="shared" si="8"/>
        <v>0</v>
      </c>
      <c r="Q44" s="41">
        <f t="shared" si="9"/>
        <v>0</v>
      </c>
      <c r="R44" s="40">
        <f t="shared" si="10"/>
        <v>0</v>
      </c>
      <c r="S44" s="40">
        <f t="shared" si="11"/>
        <v>0</v>
      </c>
    </row>
    <row r="45" spans="13:19">
      <c r="M45" s="39">
        <f t="shared" si="13"/>
        <v>0</v>
      </c>
      <c r="N45" s="40">
        <f t="shared" si="7"/>
        <v>0</v>
      </c>
      <c r="O45" s="39">
        <f t="shared" si="12"/>
        <v>0</v>
      </c>
      <c r="P45" s="39">
        <f t="shared" si="8"/>
        <v>0</v>
      </c>
      <c r="Q45" s="41">
        <f t="shared" si="9"/>
        <v>0</v>
      </c>
      <c r="R45" s="40">
        <f t="shared" si="10"/>
        <v>0</v>
      </c>
      <c r="S45" s="40">
        <f t="shared" si="11"/>
        <v>0</v>
      </c>
    </row>
    <row r="46" spans="13:19">
      <c r="M46" s="39">
        <f t="shared" si="13"/>
        <v>0</v>
      </c>
      <c r="N46" s="40">
        <f t="shared" si="7"/>
        <v>0</v>
      </c>
      <c r="O46" s="39">
        <f t="shared" si="12"/>
        <v>0</v>
      </c>
      <c r="P46" s="39">
        <f t="shared" si="8"/>
        <v>0</v>
      </c>
      <c r="Q46" s="41">
        <f t="shared" si="9"/>
        <v>0</v>
      </c>
      <c r="R46" s="40">
        <f t="shared" si="10"/>
        <v>0</v>
      </c>
      <c r="S46" s="40">
        <f t="shared" si="11"/>
        <v>0</v>
      </c>
    </row>
    <row r="47" spans="13:19">
      <c r="M47" s="39">
        <f t="shared" si="13"/>
        <v>0</v>
      </c>
      <c r="N47" s="40">
        <f t="shared" si="7"/>
        <v>0</v>
      </c>
      <c r="O47" s="39">
        <f t="shared" si="12"/>
        <v>0</v>
      </c>
      <c r="P47" s="39">
        <f t="shared" si="8"/>
        <v>0</v>
      </c>
      <c r="Q47" s="41">
        <f t="shared" si="9"/>
        <v>0</v>
      </c>
      <c r="R47" s="40">
        <f t="shared" si="10"/>
        <v>0</v>
      </c>
      <c r="S47" s="40">
        <f t="shared" si="11"/>
        <v>0</v>
      </c>
    </row>
    <row r="48" spans="13:19">
      <c r="M48" s="39">
        <f t="shared" si="13"/>
        <v>0</v>
      </c>
      <c r="N48" s="40">
        <f t="shared" si="7"/>
        <v>0</v>
      </c>
      <c r="O48" s="39">
        <f t="shared" si="12"/>
        <v>0</v>
      </c>
      <c r="P48" s="39">
        <f t="shared" si="8"/>
        <v>0</v>
      </c>
      <c r="Q48" s="41">
        <f t="shared" si="9"/>
        <v>0</v>
      </c>
      <c r="R48" s="40">
        <f t="shared" si="10"/>
        <v>0</v>
      </c>
      <c r="S48" s="40">
        <f t="shared" si="11"/>
        <v>0</v>
      </c>
    </row>
    <row r="49" spans="13:19">
      <c r="M49" s="39">
        <f t="shared" si="13"/>
        <v>0</v>
      </c>
      <c r="N49" s="40">
        <f t="shared" si="7"/>
        <v>0</v>
      </c>
      <c r="O49" s="39">
        <f t="shared" si="12"/>
        <v>0</v>
      </c>
      <c r="P49" s="39">
        <f t="shared" si="8"/>
        <v>0</v>
      </c>
      <c r="Q49" s="41">
        <f t="shared" si="9"/>
        <v>0</v>
      </c>
      <c r="R49" s="40">
        <f t="shared" si="10"/>
        <v>0</v>
      </c>
      <c r="S49" s="40">
        <f t="shared" si="11"/>
        <v>0</v>
      </c>
    </row>
    <row r="50" spans="13:19">
      <c r="M50" s="39">
        <f t="shared" si="13"/>
        <v>0</v>
      </c>
      <c r="N50" s="40">
        <f t="shared" si="7"/>
        <v>0</v>
      </c>
      <c r="O50" s="39">
        <f t="shared" si="12"/>
        <v>0</v>
      </c>
      <c r="P50" s="39">
        <f t="shared" si="8"/>
        <v>0</v>
      </c>
      <c r="Q50" s="41">
        <f t="shared" si="9"/>
        <v>0</v>
      </c>
      <c r="R50" s="40">
        <f t="shared" si="10"/>
        <v>0</v>
      </c>
      <c r="S50" s="40">
        <f t="shared" si="11"/>
        <v>0</v>
      </c>
    </row>
    <row r="51" spans="13:19">
      <c r="M51" s="39">
        <f t="shared" si="13"/>
        <v>0</v>
      </c>
      <c r="N51" s="40">
        <f t="shared" si="7"/>
        <v>0</v>
      </c>
      <c r="O51" s="39">
        <f t="shared" si="12"/>
        <v>0</v>
      </c>
      <c r="P51" s="39">
        <f t="shared" si="8"/>
        <v>0</v>
      </c>
      <c r="Q51" s="41">
        <f t="shared" si="9"/>
        <v>0</v>
      </c>
      <c r="R51" s="40">
        <f t="shared" si="10"/>
        <v>0</v>
      </c>
      <c r="S51" s="40">
        <f t="shared" si="11"/>
        <v>0</v>
      </c>
    </row>
    <row r="52" spans="13:19">
      <c r="M52" s="39">
        <f t="shared" si="13"/>
        <v>0</v>
      </c>
      <c r="N52" s="40">
        <f t="shared" si="7"/>
        <v>0</v>
      </c>
      <c r="O52" s="39">
        <f t="shared" si="12"/>
        <v>0</v>
      </c>
      <c r="P52" s="39">
        <f t="shared" si="8"/>
        <v>0</v>
      </c>
      <c r="Q52" s="41">
        <f t="shared" si="9"/>
        <v>0</v>
      </c>
      <c r="R52" s="40">
        <f t="shared" si="10"/>
        <v>0</v>
      </c>
      <c r="S52" s="40">
        <f t="shared" si="11"/>
        <v>0</v>
      </c>
    </row>
    <row r="53" spans="13:19">
      <c r="M53" s="39">
        <f t="shared" si="13"/>
        <v>0</v>
      </c>
      <c r="N53" s="40">
        <f t="shared" si="7"/>
        <v>0</v>
      </c>
      <c r="O53" s="39">
        <f t="shared" si="12"/>
        <v>0</v>
      </c>
      <c r="P53" s="39">
        <f t="shared" si="8"/>
        <v>0</v>
      </c>
      <c r="Q53" s="41">
        <f t="shared" si="9"/>
        <v>0</v>
      </c>
      <c r="R53" s="40">
        <f t="shared" si="10"/>
        <v>0</v>
      </c>
      <c r="S53" s="40">
        <f t="shared" si="11"/>
        <v>0</v>
      </c>
    </row>
    <row r="54" spans="13:19">
      <c r="M54" s="39">
        <f t="shared" si="13"/>
        <v>0</v>
      </c>
      <c r="N54" s="40">
        <f t="shared" si="7"/>
        <v>0</v>
      </c>
      <c r="O54" s="39">
        <f t="shared" si="12"/>
        <v>0</v>
      </c>
      <c r="P54" s="39">
        <f t="shared" si="8"/>
        <v>0</v>
      </c>
      <c r="Q54" s="41">
        <f t="shared" si="9"/>
        <v>0</v>
      </c>
      <c r="R54" s="40">
        <f t="shared" si="10"/>
        <v>0</v>
      </c>
      <c r="S54" s="40">
        <f t="shared" si="11"/>
        <v>0</v>
      </c>
    </row>
    <row r="55" spans="13:19">
      <c r="M55" s="39">
        <f t="shared" si="13"/>
        <v>0</v>
      </c>
      <c r="N55" s="40">
        <f t="shared" si="7"/>
        <v>0</v>
      </c>
      <c r="O55" s="39">
        <f t="shared" si="12"/>
        <v>0</v>
      </c>
      <c r="P55" s="39">
        <f t="shared" si="8"/>
        <v>0</v>
      </c>
      <c r="Q55" s="41">
        <f t="shared" si="9"/>
        <v>0</v>
      </c>
      <c r="R55" s="40">
        <f t="shared" si="10"/>
        <v>0</v>
      </c>
      <c r="S55" s="40">
        <f t="shared" si="11"/>
        <v>0</v>
      </c>
    </row>
    <row r="56" spans="13:19">
      <c r="M56" s="39">
        <f t="shared" si="13"/>
        <v>0</v>
      </c>
      <c r="N56" s="40">
        <f t="shared" si="7"/>
        <v>0</v>
      </c>
      <c r="O56" s="39">
        <f t="shared" si="12"/>
        <v>0</v>
      </c>
      <c r="P56" s="39">
        <f t="shared" si="8"/>
        <v>0</v>
      </c>
      <c r="Q56" s="41">
        <f t="shared" si="9"/>
        <v>0</v>
      </c>
      <c r="R56" s="40">
        <f t="shared" si="10"/>
        <v>0</v>
      </c>
      <c r="S56" s="40">
        <f t="shared" si="11"/>
        <v>0</v>
      </c>
    </row>
    <row r="57" spans="13:19">
      <c r="M57" s="39">
        <f t="shared" si="13"/>
        <v>0</v>
      </c>
      <c r="N57" s="40">
        <f t="shared" si="7"/>
        <v>0</v>
      </c>
      <c r="O57" s="39">
        <f t="shared" si="12"/>
        <v>0</v>
      </c>
      <c r="P57" s="39">
        <f t="shared" si="8"/>
        <v>0</v>
      </c>
      <c r="Q57" s="41">
        <f t="shared" si="9"/>
        <v>0</v>
      </c>
      <c r="R57" s="40">
        <f t="shared" si="10"/>
        <v>0</v>
      </c>
      <c r="S57" s="40">
        <f t="shared" si="11"/>
        <v>0</v>
      </c>
    </row>
    <row r="58" spans="13:19">
      <c r="M58" s="39">
        <f t="shared" si="13"/>
        <v>0</v>
      </c>
      <c r="N58" s="40">
        <f t="shared" si="7"/>
        <v>0</v>
      </c>
      <c r="O58" s="39">
        <f t="shared" si="12"/>
        <v>0</v>
      </c>
      <c r="P58" s="39">
        <f t="shared" si="8"/>
        <v>0</v>
      </c>
      <c r="Q58" s="41">
        <f t="shared" si="9"/>
        <v>0</v>
      </c>
      <c r="R58" s="40">
        <f t="shared" si="10"/>
        <v>0</v>
      </c>
      <c r="S58" s="40">
        <f t="shared" si="11"/>
        <v>0</v>
      </c>
    </row>
    <row r="59" spans="13:19">
      <c r="M59" s="39">
        <f t="shared" si="13"/>
        <v>0</v>
      </c>
      <c r="N59" s="40">
        <f t="shared" si="7"/>
        <v>0</v>
      </c>
      <c r="O59" s="39">
        <f t="shared" si="12"/>
        <v>0</v>
      </c>
      <c r="P59" s="39">
        <f t="shared" si="8"/>
        <v>0</v>
      </c>
      <c r="Q59" s="41">
        <f t="shared" si="9"/>
        <v>0</v>
      </c>
      <c r="R59" s="40">
        <f t="shared" si="10"/>
        <v>0</v>
      </c>
      <c r="S59" s="40">
        <f t="shared" si="11"/>
        <v>0</v>
      </c>
    </row>
    <row r="60" spans="13:19">
      <c r="M60" s="39">
        <f t="shared" si="13"/>
        <v>0</v>
      </c>
      <c r="N60" s="40">
        <f t="shared" si="7"/>
        <v>0</v>
      </c>
      <c r="O60" s="39">
        <f t="shared" si="12"/>
        <v>0</v>
      </c>
      <c r="P60" s="39">
        <f t="shared" si="8"/>
        <v>0</v>
      </c>
      <c r="Q60" s="41">
        <f t="shared" si="9"/>
        <v>0</v>
      </c>
      <c r="R60" s="40">
        <f t="shared" si="10"/>
        <v>0</v>
      </c>
      <c r="S60" s="40">
        <f t="shared" si="11"/>
        <v>0</v>
      </c>
    </row>
    <row r="61" spans="13:19">
      <c r="M61" s="39">
        <f t="shared" si="13"/>
        <v>0</v>
      </c>
      <c r="N61" s="40">
        <f t="shared" si="7"/>
        <v>0</v>
      </c>
      <c r="O61" s="39">
        <f t="shared" si="12"/>
        <v>0</v>
      </c>
      <c r="P61" s="39">
        <f t="shared" si="8"/>
        <v>0</v>
      </c>
      <c r="Q61" s="41">
        <f t="shared" si="9"/>
        <v>0</v>
      </c>
      <c r="R61" s="40">
        <f t="shared" si="10"/>
        <v>0</v>
      </c>
      <c r="S61" s="40">
        <f t="shared" si="11"/>
        <v>0</v>
      </c>
    </row>
    <row r="62" spans="13:19">
      <c r="M62" s="39">
        <f t="shared" si="13"/>
        <v>0</v>
      </c>
      <c r="N62" s="40">
        <f t="shared" si="7"/>
        <v>0</v>
      </c>
      <c r="O62" s="39">
        <f t="shared" si="12"/>
        <v>0</v>
      </c>
      <c r="P62" s="39">
        <f t="shared" si="8"/>
        <v>0</v>
      </c>
      <c r="Q62" s="41">
        <f t="shared" si="9"/>
        <v>0</v>
      </c>
      <c r="R62" s="40">
        <f t="shared" si="10"/>
        <v>0</v>
      </c>
      <c r="S62" s="40">
        <f t="shared" si="11"/>
        <v>0</v>
      </c>
    </row>
    <row r="63" spans="13:19">
      <c r="M63" s="39">
        <f t="shared" si="13"/>
        <v>0</v>
      </c>
      <c r="N63" s="40">
        <f t="shared" si="7"/>
        <v>0</v>
      </c>
      <c r="O63" s="39">
        <f t="shared" si="12"/>
        <v>0</v>
      </c>
      <c r="P63" s="39">
        <f t="shared" si="8"/>
        <v>0</v>
      </c>
      <c r="Q63" s="41">
        <f t="shared" si="9"/>
        <v>0</v>
      </c>
      <c r="R63" s="40">
        <f t="shared" si="10"/>
        <v>0</v>
      </c>
      <c r="S63" s="40">
        <f t="shared" si="11"/>
        <v>0</v>
      </c>
    </row>
    <row r="64" spans="13:19">
      <c r="M64" s="39">
        <f t="shared" si="13"/>
        <v>0</v>
      </c>
      <c r="N64" s="40">
        <f t="shared" si="7"/>
        <v>0</v>
      </c>
      <c r="O64" s="39">
        <f t="shared" si="12"/>
        <v>0</v>
      </c>
      <c r="P64" s="39">
        <f t="shared" si="8"/>
        <v>0</v>
      </c>
      <c r="Q64" s="41">
        <f t="shared" si="9"/>
        <v>0</v>
      </c>
      <c r="R64" s="40">
        <f t="shared" si="10"/>
        <v>0</v>
      </c>
      <c r="S64" s="40">
        <f t="shared" si="11"/>
        <v>0</v>
      </c>
    </row>
    <row r="65" spans="13:19">
      <c r="M65" s="39">
        <f t="shared" si="13"/>
        <v>0</v>
      </c>
      <c r="N65" s="40">
        <f t="shared" si="7"/>
        <v>0</v>
      </c>
      <c r="O65" s="39">
        <f t="shared" si="12"/>
        <v>0</v>
      </c>
      <c r="P65" s="39">
        <f t="shared" si="8"/>
        <v>0</v>
      </c>
      <c r="Q65" s="41">
        <f t="shared" si="9"/>
        <v>0</v>
      </c>
      <c r="R65" s="40">
        <f t="shared" si="10"/>
        <v>0</v>
      </c>
      <c r="S65" s="40">
        <f t="shared" si="11"/>
        <v>0</v>
      </c>
    </row>
    <row r="66" spans="13:19">
      <c r="M66" s="39">
        <f t="shared" si="13"/>
        <v>0</v>
      </c>
      <c r="N66" s="40">
        <f t="shared" si="7"/>
        <v>0</v>
      </c>
      <c r="O66" s="39">
        <f t="shared" si="12"/>
        <v>0</v>
      </c>
      <c r="P66" s="39">
        <f t="shared" si="8"/>
        <v>0</v>
      </c>
      <c r="Q66" s="41">
        <f t="shared" si="9"/>
        <v>0</v>
      </c>
      <c r="R66" s="40">
        <f t="shared" si="10"/>
        <v>0</v>
      </c>
      <c r="S66" s="40">
        <f t="shared" si="11"/>
        <v>0</v>
      </c>
    </row>
    <row r="67" spans="13:19">
      <c r="M67" s="39">
        <f t="shared" si="13"/>
        <v>0</v>
      </c>
      <c r="N67" s="40">
        <f t="shared" ref="N67:N98" si="14">IF(M67=0,0,invest*(1+increment)^(M67-1))</f>
        <v>0</v>
      </c>
      <c r="O67" s="39">
        <f t="shared" si="12"/>
        <v>0</v>
      </c>
      <c r="P67" s="39">
        <f t="shared" ref="P67:P100" si="15">IF(M67="","",IF(M67=loany2,loansip2,IF(P66=loansip2,loansip2,0)))</f>
        <v>0</v>
      </c>
      <c r="Q67" s="41">
        <f t="shared" ref="Q67:Q100" si="16">IF(ISERROR(IF(M67=0,0,IF(M67=loany1,loansip1,IF(O66=loansip1,loansip1,0)))+IF(M67=0,0,IF(M67=loany2,loansip2,IF(P66=loansip2,loansip2,0)))),"",IF(M67=0,0,IF(M67=loany1,loansip1,IF(O66=loansip1,loansip1,0)))+IF(M67=0,0,IF(M67=loany2,loansip2,IF(P66=loansip2,loansip2,0))))</f>
        <v>0</v>
      </c>
      <c r="R67" s="40">
        <f t="shared" ref="R67:R100" si="17">IF(M67=ygoal1,goal1,IF(M67=ygoal2,goal2,IF(M67=ygoal3,goal3,IF(M67=ygoal4,goal4,IF(M67=ygoal5,goal5,0)))))</f>
        <v>0</v>
      </c>
      <c r="S67" s="40">
        <f t="shared" ref="S67:S100" si="18">IF(M67=0,0,((N67+Q67)*12+(S66-R66))*(1+interest))</f>
        <v>0</v>
      </c>
    </row>
    <row r="68" spans="13:19">
      <c r="M68" s="39">
        <f t="shared" si="13"/>
        <v>0</v>
      </c>
      <c r="N68" s="40">
        <f t="shared" si="14"/>
        <v>0</v>
      </c>
      <c r="O68" s="39">
        <f t="shared" ref="O68:O100" si="19">IF(M68="","",IF(M68=loany1,loansip1,IF(O67=loansip1,loansip1,0)))</f>
        <v>0</v>
      </c>
      <c r="P68" s="39">
        <f t="shared" si="15"/>
        <v>0</v>
      </c>
      <c r="Q68" s="41">
        <f t="shared" si="16"/>
        <v>0</v>
      </c>
      <c r="R68" s="40">
        <f t="shared" si="17"/>
        <v>0</v>
      </c>
      <c r="S68" s="40">
        <f t="shared" si="18"/>
        <v>0</v>
      </c>
    </row>
    <row r="69" spans="13:19">
      <c r="M69" s="39">
        <f t="shared" ref="M69:M100" si="20">IF(M68=$L$3,0,IF(M68=0,0,IF(M68&gt;=$L$3,"",M68+1)))</f>
        <v>0</v>
      </c>
      <c r="N69" s="40">
        <f t="shared" si="14"/>
        <v>0</v>
      </c>
      <c r="O69" s="39">
        <f t="shared" si="19"/>
        <v>0</v>
      </c>
      <c r="P69" s="39">
        <f t="shared" si="15"/>
        <v>0</v>
      </c>
      <c r="Q69" s="41">
        <f t="shared" si="16"/>
        <v>0</v>
      </c>
      <c r="R69" s="40">
        <f t="shared" si="17"/>
        <v>0</v>
      </c>
      <c r="S69" s="40">
        <f t="shared" si="18"/>
        <v>0</v>
      </c>
    </row>
    <row r="70" spans="13:19">
      <c r="M70" s="39">
        <f t="shared" si="20"/>
        <v>0</v>
      </c>
      <c r="N70" s="40">
        <f t="shared" si="14"/>
        <v>0</v>
      </c>
      <c r="O70" s="39">
        <f t="shared" si="19"/>
        <v>0</v>
      </c>
      <c r="P70" s="39">
        <f t="shared" si="15"/>
        <v>0</v>
      </c>
      <c r="Q70" s="41">
        <f t="shared" si="16"/>
        <v>0</v>
      </c>
      <c r="R70" s="40">
        <f t="shared" si="17"/>
        <v>0</v>
      </c>
      <c r="S70" s="40">
        <f t="shared" si="18"/>
        <v>0</v>
      </c>
    </row>
    <row r="71" spans="13:19">
      <c r="M71" s="39">
        <f t="shared" si="20"/>
        <v>0</v>
      </c>
      <c r="N71" s="40">
        <f t="shared" si="14"/>
        <v>0</v>
      </c>
      <c r="O71" s="39">
        <f t="shared" si="19"/>
        <v>0</v>
      </c>
      <c r="P71" s="39">
        <f t="shared" si="15"/>
        <v>0</v>
      </c>
      <c r="Q71" s="41">
        <f t="shared" si="16"/>
        <v>0</v>
      </c>
      <c r="R71" s="40">
        <f t="shared" si="17"/>
        <v>0</v>
      </c>
      <c r="S71" s="40">
        <f t="shared" si="18"/>
        <v>0</v>
      </c>
    </row>
    <row r="72" spans="13:19">
      <c r="M72" s="39">
        <f t="shared" si="20"/>
        <v>0</v>
      </c>
      <c r="N72" s="40">
        <f t="shared" si="14"/>
        <v>0</v>
      </c>
      <c r="O72" s="39">
        <f t="shared" si="19"/>
        <v>0</v>
      </c>
      <c r="P72" s="39">
        <f t="shared" si="15"/>
        <v>0</v>
      </c>
      <c r="Q72" s="41">
        <f t="shared" si="16"/>
        <v>0</v>
      </c>
      <c r="R72" s="40">
        <f t="shared" si="17"/>
        <v>0</v>
      </c>
      <c r="S72" s="40">
        <f t="shared" si="18"/>
        <v>0</v>
      </c>
    </row>
    <row r="73" spans="13:19">
      <c r="M73" s="39">
        <f t="shared" si="20"/>
        <v>0</v>
      </c>
      <c r="N73" s="40">
        <f t="shared" si="14"/>
        <v>0</v>
      </c>
      <c r="O73" s="39">
        <f t="shared" si="19"/>
        <v>0</v>
      </c>
      <c r="P73" s="39">
        <f t="shared" si="15"/>
        <v>0</v>
      </c>
      <c r="Q73" s="41">
        <f t="shared" si="16"/>
        <v>0</v>
      </c>
      <c r="R73" s="40">
        <f t="shared" si="17"/>
        <v>0</v>
      </c>
      <c r="S73" s="40">
        <f t="shared" si="18"/>
        <v>0</v>
      </c>
    </row>
    <row r="74" spans="13:19">
      <c r="M74" s="39">
        <f t="shared" si="20"/>
        <v>0</v>
      </c>
      <c r="N74" s="40">
        <f t="shared" si="14"/>
        <v>0</v>
      </c>
      <c r="O74" s="39">
        <f t="shared" si="19"/>
        <v>0</v>
      </c>
      <c r="P74" s="39">
        <f t="shared" si="15"/>
        <v>0</v>
      </c>
      <c r="Q74" s="41">
        <f t="shared" si="16"/>
        <v>0</v>
      </c>
      <c r="R74" s="40">
        <f t="shared" si="17"/>
        <v>0</v>
      </c>
      <c r="S74" s="40">
        <f t="shared" si="18"/>
        <v>0</v>
      </c>
    </row>
    <row r="75" spans="13:19">
      <c r="M75" s="39">
        <f t="shared" si="20"/>
        <v>0</v>
      </c>
      <c r="N75" s="40">
        <f t="shared" si="14"/>
        <v>0</v>
      </c>
      <c r="O75" s="39">
        <f t="shared" si="19"/>
        <v>0</v>
      </c>
      <c r="P75" s="39">
        <f t="shared" si="15"/>
        <v>0</v>
      </c>
      <c r="Q75" s="41">
        <f t="shared" si="16"/>
        <v>0</v>
      </c>
      <c r="R75" s="40">
        <f t="shared" si="17"/>
        <v>0</v>
      </c>
      <c r="S75" s="40">
        <f t="shared" si="18"/>
        <v>0</v>
      </c>
    </row>
    <row r="76" spans="13:19">
      <c r="M76" s="39">
        <f t="shared" si="20"/>
        <v>0</v>
      </c>
      <c r="N76" s="40">
        <f t="shared" si="14"/>
        <v>0</v>
      </c>
      <c r="O76" s="39">
        <f t="shared" si="19"/>
        <v>0</v>
      </c>
      <c r="P76" s="39">
        <f t="shared" si="15"/>
        <v>0</v>
      </c>
      <c r="Q76" s="41">
        <f t="shared" si="16"/>
        <v>0</v>
      </c>
      <c r="R76" s="40">
        <f t="shared" si="17"/>
        <v>0</v>
      </c>
      <c r="S76" s="40">
        <f t="shared" si="18"/>
        <v>0</v>
      </c>
    </row>
    <row r="77" spans="13:19">
      <c r="M77" s="39">
        <f t="shared" si="20"/>
        <v>0</v>
      </c>
      <c r="N77" s="40">
        <f t="shared" si="14"/>
        <v>0</v>
      </c>
      <c r="O77" s="39">
        <f t="shared" si="19"/>
        <v>0</v>
      </c>
      <c r="P77" s="39">
        <f t="shared" si="15"/>
        <v>0</v>
      </c>
      <c r="Q77" s="41">
        <f t="shared" si="16"/>
        <v>0</v>
      </c>
      <c r="R77" s="40">
        <f t="shared" si="17"/>
        <v>0</v>
      </c>
      <c r="S77" s="40">
        <f t="shared" si="18"/>
        <v>0</v>
      </c>
    </row>
    <row r="78" spans="13:19">
      <c r="M78" s="39">
        <f t="shared" si="20"/>
        <v>0</v>
      </c>
      <c r="N78" s="40">
        <f t="shared" si="14"/>
        <v>0</v>
      </c>
      <c r="O78" s="39">
        <f t="shared" si="19"/>
        <v>0</v>
      </c>
      <c r="P78" s="39">
        <f t="shared" si="15"/>
        <v>0</v>
      </c>
      <c r="Q78" s="41">
        <f t="shared" si="16"/>
        <v>0</v>
      </c>
      <c r="R78" s="40">
        <f t="shared" si="17"/>
        <v>0</v>
      </c>
      <c r="S78" s="40">
        <f t="shared" si="18"/>
        <v>0</v>
      </c>
    </row>
    <row r="79" spans="13:19">
      <c r="M79" s="39">
        <f t="shared" si="20"/>
        <v>0</v>
      </c>
      <c r="N79" s="40">
        <f t="shared" si="14"/>
        <v>0</v>
      </c>
      <c r="O79" s="39">
        <f t="shared" si="19"/>
        <v>0</v>
      </c>
      <c r="P79" s="39">
        <f t="shared" si="15"/>
        <v>0</v>
      </c>
      <c r="Q79" s="41">
        <f t="shared" si="16"/>
        <v>0</v>
      </c>
      <c r="R79" s="40">
        <f t="shared" si="17"/>
        <v>0</v>
      </c>
      <c r="S79" s="40">
        <f t="shared" si="18"/>
        <v>0</v>
      </c>
    </row>
    <row r="80" spans="13:19">
      <c r="M80" s="39">
        <f t="shared" si="20"/>
        <v>0</v>
      </c>
      <c r="N80" s="40">
        <f t="shared" si="14"/>
        <v>0</v>
      </c>
      <c r="O80" s="39">
        <f t="shared" si="19"/>
        <v>0</v>
      </c>
      <c r="P80" s="39">
        <f t="shared" si="15"/>
        <v>0</v>
      </c>
      <c r="Q80" s="41">
        <f t="shared" si="16"/>
        <v>0</v>
      </c>
      <c r="R80" s="40">
        <f t="shared" si="17"/>
        <v>0</v>
      </c>
      <c r="S80" s="40">
        <f t="shared" si="18"/>
        <v>0</v>
      </c>
    </row>
    <row r="81" spans="13:19">
      <c r="M81" s="39">
        <f t="shared" si="20"/>
        <v>0</v>
      </c>
      <c r="N81" s="40">
        <f t="shared" si="14"/>
        <v>0</v>
      </c>
      <c r="O81" s="39">
        <f t="shared" si="19"/>
        <v>0</v>
      </c>
      <c r="P81" s="39">
        <f t="shared" si="15"/>
        <v>0</v>
      </c>
      <c r="Q81" s="41">
        <f t="shared" si="16"/>
        <v>0</v>
      </c>
      <c r="R81" s="40">
        <f t="shared" si="17"/>
        <v>0</v>
      </c>
      <c r="S81" s="40">
        <f t="shared" si="18"/>
        <v>0</v>
      </c>
    </row>
    <row r="82" spans="13:19">
      <c r="M82" s="39">
        <f t="shared" si="20"/>
        <v>0</v>
      </c>
      <c r="N82" s="40">
        <f t="shared" si="14"/>
        <v>0</v>
      </c>
      <c r="O82" s="39">
        <f t="shared" si="19"/>
        <v>0</v>
      </c>
      <c r="P82" s="39">
        <f t="shared" si="15"/>
        <v>0</v>
      </c>
      <c r="Q82" s="41">
        <f t="shared" si="16"/>
        <v>0</v>
      </c>
      <c r="R82" s="40">
        <f t="shared" si="17"/>
        <v>0</v>
      </c>
      <c r="S82" s="40">
        <f t="shared" si="18"/>
        <v>0</v>
      </c>
    </row>
    <row r="83" spans="13:19">
      <c r="M83" s="39">
        <f t="shared" si="20"/>
        <v>0</v>
      </c>
      <c r="N83" s="40">
        <f t="shared" si="14"/>
        <v>0</v>
      </c>
      <c r="O83" s="39">
        <f t="shared" si="19"/>
        <v>0</v>
      </c>
      <c r="P83" s="39">
        <f t="shared" si="15"/>
        <v>0</v>
      </c>
      <c r="Q83" s="41">
        <f t="shared" si="16"/>
        <v>0</v>
      </c>
      <c r="R83" s="40">
        <f t="shared" si="17"/>
        <v>0</v>
      </c>
      <c r="S83" s="40">
        <f t="shared" si="18"/>
        <v>0</v>
      </c>
    </row>
    <row r="84" spans="13:19">
      <c r="M84" s="39">
        <f t="shared" si="20"/>
        <v>0</v>
      </c>
      <c r="N84" s="40">
        <f t="shared" si="14"/>
        <v>0</v>
      </c>
      <c r="O84" s="39">
        <f t="shared" si="19"/>
        <v>0</v>
      </c>
      <c r="P84" s="39">
        <f t="shared" si="15"/>
        <v>0</v>
      </c>
      <c r="Q84" s="41">
        <f t="shared" si="16"/>
        <v>0</v>
      </c>
      <c r="R84" s="40">
        <f t="shared" si="17"/>
        <v>0</v>
      </c>
      <c r="S84" s="40">
        <f t="shared" si="18"/>
        <v>0</v>
      </c>
    </row>
    <row r="85" spans="13:19">
      <c r="M85" s="39">
        <f t="shared" si="20"/>
        <v>0</v>
      </c>
      <c r="N85" s="40">
        <f t="shared" si="14"/>
        <v>0</v>
      </c>
      <c r="O85" s="39">
        <f t="shared" si="19"/>
        <v>0</v>
      </c>
      <c r="P85" s="39">
        <f t="shared" si="15"/>
        <v>0</v>
      </c>
      <c r="Q85" s="41">
        <f t="shared" si="16"/>
        <v>0</v>
      </c>
      <c r="R85" s="40">
        <f t="shared" si="17"/>
        <v>0</v>
      </c>
      <c r="S85" s="40">
        <f t="shared" si="18"/>
        <v>0</v>
      </c>
    </row>
    <row r="86" spans="13:19">
      <c r="M86" s="39">
        <f t="shared" si="20"/>
        <v>0</v>
      </c>
      <c r="N86" s="40">
        <f t="shared" si="14"/>
        <v>0</v>
      </c>
      <c r="O86" s="39">
        <f t="shared" si="19"/>
        <v>0</v>
      </c>
      <c r="P86" s="39">
        <f t="shared" si="15"/>
        <v>0</v>
      </c>
      <c r="Q86" s="41">
        <f t="shared" si="16"/>
        <v>0</v>
      </c>
      <c r="R86" s="40">
        <f t="shared" si="17"/>
        <v>0</v>
      </c>
      <c r="S86" s="40">
        <f t="shared" si="18"/>
        <v>0</v>
      </c>
    </row>
    <row r="87" spans="13:19">
      <c r="M87" s="39">
        <f t="shared" si="20"/>
        <v>0</v>
      </c>
      <c r="N87" s="40">
        <f t="shared" si="14"/>
        <v>0</v>
      </c>
      <c r="O87" s="39">
        <f t="shared" si="19"/>
        <v>0</v>
      </c>
      <c r="P87" s="39">
        <f t="shared" si="15"/>
        <v>0</v>
      </c>
      <c r="Q87" s="41">
        <f t="shared" si="16"/>
        <v>0</v>
      </c>
      <c r="R87" s="40">
        <f t="shared" si="17"/>
        <v>0</v>
      </c>
      <c r="S87" s="40">
        <f t="shared" si="18"/>
        <v>0</v>
      </c>
    </row>
    <row r="88" spans="13:19">
      <c r="M88" s="39">
        <f t="shared" si="20"/>
        <v>0</v>
      </c>
      <c r="N88" s="40">
        <f t="shared" si="14"/>
        <v>0</v>
      </c>
      <c r="O88" s="39">
        <f t="shared" si="19"/>
        <v>0</v>
      </c>
      <c r="P88" s="39">
        <f t="shared" si="15"/>
        <v>0</v>
      </c>
      <c r="Q88" s="41">
        <f t="shared" si="16"/>
        <v>0</v>
      </c>
      <c r="R88" s="40">
        <f t="shared" si="17"/>
        <v>0</v>
      </c>
      <c r="S88" s="40">
        <f t="shared" si="18"/>
        <v>0</v>
      </c>
    </row>
    <row r="89" spans="13:19">
      <c r="M89" s="39">
        <f t="shared" si="20"/>
        <v>0</v>
      </c>
      <c r="N89" s="40">
        <f t="shared" si="14"/>
        <v>0</v>
      </c>
      <c r="O89" s="39">
        <f t="shared" si="19"/>
        <v>0</v>
      </c>
      <c r="P89" s="39">
        <f t="shared" si="15"/>
        <v>0</v>
      </c>
      <c r="Q89" s="41">
        <f t="shared" si="16"/>
        <v>0</v>
      </c>
      <c r="R89" s="40">
        <f t="shared" si="17"/>
        <v>0</v>
      </c>
      <c r="S89" s="40">
        <f t="shared" si="18"/>
        <v>0</v>
      </c>
    </row>
    <row r="90" spans="13:19">
      <c r="M90" s="39">
        <f t="shared" si="20"/>
        <v>0</v>
      </c>
      <c r="N90" s="40">
        <f t="shared" si="14"/>
        <v>0</v>
      </c>
      <c r="O90" s="39">
        <f t="shared" si="19"/>
        <v>0</v>
      </c>
      <c r="P90" s="39">
        <f t="shared" si="15"/>
        <v>0</v>
      </c>
      <c r="Q90" s="41">
        <f t="shared" si="16"/>
        <v>0</v>
      </c>
      <c r="R90" s="40">
        <f t="shared" si="17"/>
        <v>0</v>
      </c>
      <c r="S90" s="40">
        <f t="shared" si="18"/>
        <v>0</v>
      </c>
    </row>
    <row r="91" spans="13:19">
      <c r="M91" s="39">
        <f t="shared" si="20"/>
        <v>0</v>
      </c>
      <c r="N91" s="40">
        <f t="shared" si="14"/>
        <v>0</v>
      </c>
      <c r="O91" s="39">
        <f t="shared" si="19"/>
        <v>0</v>
      </c>
      <c r="P91" s="39">
        <f t="shared" si="15"/>
        <v>0</v>
      </c>
      <c r="Q91" s="41">
        <f t="shared" si="16"/>
        <v>0</v>
      </c>
      <c r="R91" s="40">
        <f t="shared" si="17"/>
        <v>0</v>
      </c>
      <c r="S91" s="40">
        <f t="shared" si="18"/>
        <v>0</v>
      </c>
    </row>
    <row r="92" spans="13:19">
      <c r="M92" s="39">
        <f t="shared" si="20"/>
        <v>0</v>
      </c>
      <c r="N92" s="40">
        <f t="shared" si="14"/>
        <v>0</v>
      </c>
      <c r="O92" s="39">
        <f t="shared" si="19"/>
        <v>0</v>
      </c>
      <c r="P92" s="39">
        <f t="shared" si="15"/>
        <v>0</v>
      </c>
      <c r="Q92" s="41">
        <f t="shared" si="16"/>
        <v>0</v>
      </c>
      <c r="R92" s="40">
        <f t="shared" si="17"/>
        <v>0</v>
      </c>
      <c r="S92" s="40">
        <f t="shared" si="18"/>
        <v>0</v>
      </c>
    </row>
    <row r="93" spans="13:19">
      <c r="M93" s="39">
        <f t="shared" si="20"/>
        <v>0</v>
      </c>
      <c r="N93" s="40">
        <f t="shared" si="14"/>
        <v>0</v>
      </c>
      <c r="O93" s="39">
        <f t="shared" si="19"/>
        <v>0</v>
      </c>
      <c r="P93" s="39">
        <f t="shared" si="15"/>
        <v>0</v>
      </c>
      <c r="Q93" s="41">
        <f t="shared" si="16"/>
        <v>0</v>
      </c>
      <c r="R93" s="40">
        <f t="shared" si="17"/>
        <v>0</v>
      </c>
      <c r="S93" s="40">
        <f t="shared" si="18"/>
        <v>0</v>
      </c>
    </row>
    <row r="94" spans="13:19">
      <c r="M94" s="39">
        <f t="shared" si="20"/>
        <v>0</v>
      </c>
      <c r="N94" s="40">
        <f t="shared" si="14"/>
        <v>0</v>
      </c>
      <c r="O94" s="39">
        <f t="shared" si="19"/>
        <v>0</v>
      </c>
      <c r="P94" s="39">
        <f t="shared" si="15"/>
        <v>0</v>
      </c>
      <c r="Q94" s="41">
        <f t="shared" si="16"/>
        <v>0</v>
      </c>
      <c r="R94" s="40">
        <f t="shared" si="17"/>
        <v>0</v>
      </c>
      <c r="S94" s="40">
        <f t="shared" si="18"/>
        <v>0</v>
      </c>
    </row>
    <row r="95" spans="13:19">
      <c r="M95" s="39">
        <f t="shared" si="20"/>
        <v>0</v>
      </c>
      <c r="N95" s="40">
        <f t="shared" si="14"/>
        <v>0</v>
      </c>
      <c r="O95" s="39">
        <f t="shared" si="19"/>
        <v>0</v>
      </c>
      <c r="P95" s="39">
        <f t="shared" si="15"/>
        <v>0</v>
      </c>
      <c r="Q95" s="41">
        <f t="shared" si="16"/>
        <v>0</v>
      </c>
      <c r="R95" s="40">
        <f t="shared" si="17"/>
        <v>0</v>
      </c>
      <c r="S95" s="40">
        <f t="shared" si="18"/>
        <v>0</v>
      </c>
    </row>
    <row r="96" spans="13:19">
      <c r="M96" s="39">
        <f t="shared" si="20"/>
        <v>0</v>
      </c>
      <c r="N96" s="40">
        <f t="shared" si="14"/>
        <v>0</v>
      </c>
      <c r="O96" s="39">
        <f t="shared" si="19"/>
        <v>0</v>
      </c>
      <c r="P96" s="39">
        <f t="shared" si="15"/>
        <v>0</v>
      </c>
      <c r="Q96" s="41">
        <f t="shared" si="16"/>
        <v>0</v>
      </c>
      <c r="R96" s="40">
        <f t="shared" si="17"/>
        <v>0</v>
      </c>
      <c r="S96" s="40">
        <f t="shared" si="18"/>
        <v>0</v>
      </c>
    </row>
    <row r="97" spans="13:19">
      <c r="M97" s="39">
        <f t="shared" si="20"/>
        <v>0</v>
      </c>
      <c r="N97" s="40">
        <f t="shared" si="14"/>
        <v>0</v>
      </c>
      <c r="O97" s="39">
        <f t="shared" si="19"/>
        <v>0</v>
      </c>
      <c r="P97" s="39">
        <f t="shared" si="15"/>
        <v>0</v>
      </c>
      <c r="Q97" s="41">
        <f t="shared" si="16"/>
        <v>0</v>
      </c>
      <c r="R97" s="40">
        <f t="shared" si="17"/>
        <v>0</v>
      </c>
      <c r="S97" s="40">
        <f t="shared" si="18"/>
        <v>0</v>
      </c>
    </row>
    <row r="98" spans="13:19">
      <c r="M98" s="39">
        <f t="shared" si="20"/>
        <v>0</v>
      </c>
      <c r="N98" s="40">
        <f t="shared" si="14"/>
        <v>0</v>
      </c>
      <c r="O98" s="39">
        <f t="shared" si="19"/>
        <v>0</v>
      </c>
      <c r="P98" s="39">
        <f t="shared" si="15"/>
        <v>0</v>
      </c>
      <c r="Q98" s="41">
        <f t="shared" si="16"/>
        <v>0</v>
      </c>
      <c r="R98" s="40">
        <f t="shared" si="17"/>
        <v>0</v>
      </c>
      <c r="S98" s="40">
        <f t="shared" si="18"/>
        <v>0</v>
      </c>
    </row>
    <row r="99" spans="13:19">
      <c r="M99" s="39">
        <f t="shared" si="20"/>
        <v>0</v>
      </c>
      <c r="N99" s="40">
        <f t="shared" ref="N99:N100" si="21">IF(M99=0,0,invest*(1+increment)^(M99-1))</f>
        <v>0</v>
      </c>
      <c r="O99" s="39">
        <f t="shared" si="19"/>
        <v>0</v>
      </c>
      <c r="P99" s="39">
        <f t="shared" si="15"/>
        <v>0</v>
      </c>
      <c r="Q99" s="41">
        <f t="shared" si="16"/>
        <v>0</v>
      </c>
      <c r="R99" s="40">
        <f t="shared" si="17"/>
        <v>0</v>
      </c>
      <c r="S99" s="40">
        <f t="shared" si="18"/>
        <v>0</v>
      </c>
    </row>
    <row r="100" spans="13:19">
      <c r="M100" s="39">
        <f t="shared" si="20"/>
        <v>0</v>
      </c>
      <c r="N100" s="40">
        <f t="shared" si="21"/>
        <v>0</v>
      </c>
      <c r="O100" s="39">
        <f t="shared" si="19"/>
        <v>0</v>
      </c>
      <c r="P100" s="39">
        <f t="shared" si="15"/>
        <v>0</v>
      </c>
      <c r="Q100" s="41">
        <f t="shared" si="16"/>
        <v>0</v>
      </c>
      <c r="R100" s="40">
        <f t="shared" si="17"/>
        <v>0</v>
      </c>
      <c r="S100" s="40">
        <f t="shared" si="18"/>
        <v>0</v>
      </c>
    </row>
  </sheetData>
  <conditionalFormatting sqref="M3:S10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0"/>
  <sheetViews>
    <sheetView topLeftCell="A7" zoomScaleNormal="100" workbookViewId="0">
      <selection activeCell="M22" sqref="M22"/>
    </sheetView>
  </sheetViews>
  <sheetFormatPr defaultRowHeight="14.4"/>
  <sheetData>
    <row r="1" spans="1:2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1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1: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1: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1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1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1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1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1:1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1:1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F16" sqref="F16"/>
    </sheetView>
  </sheetViews>
  <sheetFormatPr defaultRowHeight="14.4"/>
  <cols>
    <col min="1" max="1" width="9.109375" style="93"/>
    <col min="2" max="2" width="21.109375" bestFit="1" customWidth="1"/>
    <col min="3" max="3" width="12" bestFit="1" customWidth="1"/>
    <col min="4" max="4" width="21" bestFit="1" customWidth="1"/>
  </cols>
  <sheetData>
    <row r="1" spans="1:4">
      <c r="A1" s="93" t="s">
        <v>84</v>
      </c>
      <c r="B1" t="s">
        <v>85</v>
      </c>
      <c r="C1" t="s">
        <v>55</v>
      </c>
      <c r="D1" t="s">
        <v>86</v>
      </c>
    </row>
    <row r="2" spans="1:4">
      <c r="A2" s="93">
        <v>1</v>
      </c>
      <c r="B2" s="18">
        <f>Retirement!B15</f>
        <v>77851401.196472019</v>
      </c>
      <c r="C2">
        <f>Retirement!B10*12</f>
        <v>3561207.1020340491</v>
      </c>
      <c r="D2">
        <f>(B2-C2)*(1+Retirement!$B$13/100)</f>
        <v>80233409.62199302</v>
      </c>
    </row>
    <row r="3" spans="1:4" ht="13.8" customHeight="1">
      <c r="A3" s="93">
        <f>IF(A2=Retirement!$B$11,NA(),A2+1)</f>
        <v>2</v>
      </c>
      <c r="B3" s="102">
        <f>IF(A3&gt;Retirement!$B$11,NA(),D2)</f>
        <v>80233409.62199302</v>
      </c>
      <c r="C3">
        <f>IF(A3&gt;Retirement!$B$11,NA(),C2*(1+Retirement!$B$12/100))</f>
        <v>3881715.741217114</v>
      </c>
      <c r="D3">
        <f>IF(A3&gt;Retirement!$B$11,NA(),(B3-C3)*(1+Retirement!$B$13/100))</f>
        <v>82459829.391237974</v>
      </c>
    </row>
    <row r="4" spans="1:4">
      <c r="A4" s="93">
        <f>IF(A3=Retirement!$B$11,NA(),A3+1)</f>
        <v>3</v>
      </c>
      <c r="B4" s="102">
        <f>IF(A4&gt;Retirement!$B$11,NA(),D3)</f>
        <v>82459829.391237974</v>
      </c>
      <c r="C4">
        <f>IF(A4&gt;Retirement!$B$11,NA(),C3*(1+Retirement!$B$12/100))</f>
        <v>4231070.1579266544</v>
      </c>
      <c r="D4">
        <f>IF(A4&gt;Retirement!$B$11,NA(),(B4-C4)*(1+Retirement!$B$13/100))</f>
        <v>84487059.971976236</v>
      </c>
    </row>
    <row r="5" spans="1:4">
      <c r="A5" s="93">
        <f>IF(A4=Retirement!$B$11,NA(),A4+1)</f>
        <v>4</v>
      </c>
      <c r="B5" s="102">
        <f>IF(A5&gt;Retirement!$B$11,NA(),D4)</f>
        <v>84487059.971976236</v>
      </c>
      <c r="C5">
        <f>IF(A5&gt;Retirement!$B$11,NA(),C4*(1+Retirement!$B$12/100))</f>
        <v>4611866.4721400533</v>
      </c>
      <c r="D5">
        <f>IF(A5&gt;Retirement!$B$11,NA(),(B5-C5)*(1+Retirement!$B$13/100))</f>
        <v>86265208.979823083</v>
      </c>
    </row>
    <row r="6" spans="1:4">
      <c r="A6" s="93">
        <f>IF(A5=Retirement!$B$11,NA(),A5+1)</f>
        <v>5</v>
      </c>
      <c r="B6" s="102">
        <f>IF(A6&gt;Retirement!$B$11,NA(),D5)</f>
        <v>86265208.979823083</v>
      </c>
      <c r="C6">
        <f>IF(A6&gt;Retirement!$B$11,NA(),C5*(1+Retirement!$B$12/100))</f>
        <v>5026934.4546326585</v>
      </c>
      <c r="D6">
        <f>IF(A6&gt;Retirement!$B$11,NA(),(B6-C6)*(1+Retirement!$B$13/100))</f>
        <v>87737336.487205669</v>
      </c>
    </row>
    <row r="7" spans="1:4">
      <c r="A7" s="93">
        <f>IF(A6=Retirement!$B$11,NA(),A6+1)</f>
        <v>6</v>
      </c>
      <c r="B7" s="102">
        <f>IF(A7&gt;Retirement!$B$11,NA(),D6)</f>
        <v>87737336.487205669</v>
      </c>
      <c r="C7">
        <f>IF(A7&gt;Retirement!$B$11,NA(),C6*(1+Retirement!$B$12/100))</f>
        <v>5479358.5555495983</v>
      </c>
      <c r="D7">
        <f>IF(A7&gt;Retirement!$B$11,NA(),(B7-C7)*(1+Retirement!$B$13/100))</f>
        <v>88838616.166188568</v>
      </c>
    </row>
    <row r="8" spans="1:4">
      <c r="A8" s="93">
        <f>IF(A7=Retirement!$B$11,NA(),A7+1)</f>
        <v>7</v>
      </c>
      <c r="B8" s="102">
        <f>IF(A8&gt;Retirement!$B$11,NA(),D7)</f>
        <v>88838616.166188568</v>
      </c>
      <c r="C8">
        <f>IF(A8&gt;Retirement!$B$11,NA(),C7*(1+Retirement!$B$12/100))</f>
        <v>5972500.8255490623</v>
      </c>
      <c r="D8">
        <f>IF(A8&gt;Retirement!$B$11,NA(),(B8-C8)*(1+Retirement!$B$13/100))</f>
        <v>89495404.567890674</v>
      </c>
    </row>
    <row r="9" spans="1:4">
      <c r="A9" s="93">
        <f>IF(A8=Retirement!$B$11,NA(),A8+1)</f>
        <v>8</v>
      </c>
      <c r="B9" s="102">
        <f>IF(A9&gt;Retirement!$B$11,NA(),D8)</f>
        <v>89495404.567890674</v>
      </c>
      <c r="C9">
        <f>IF(A9&gt;Retirement!$B$11,NA(),C8*(1+Retirement!$B$12/100))</f>
        <v>6510025.8998484788</v>
      </c>
      <c r="D9">
        <f>IF(A9&gt;Retirement!$B$11,NA(),(B9-C9)*(1+Retirement!$B$13/100))</f>
        <v>89624208.96148558</v>
      </c>
    </row>
    <row r="10" spans="1:4">
      <c r="A10" s="93">
        <f>IF(A9=Retirement!$B$11,NA(),A9+1)</f>
        <v>9</v>
      </c>
      <c r="B10" s="102">
        <f>IF(A10&gt;Retirement!$B$11,NA(),D9)</f>
        <v>89624208.96148558</v>
      </c>
      <c r="C10">
        <f>IF(A10&gt;Retirement!$B$11,NA(),C9*(1+Retirement!$B$12/100))</f>
        <v>7095928.2308348427</v>
      </c>
      <c r="D10">
        <f>IF(A10&gt;Retirement!$B$11,NA(),(B10-C10)*(1+Retirement!$B$13/100))</f>
        <v>89130543.189102799</v>
      </c>
    </row>
    <row r="11" spans="1:4">
      <c r="A11" s="93">
        <f>IF(A10=Retirement!$B$11,NA(),A10+1)</f>
        <v>10</v>
      </c>
      <c r="B11" s="102">
        <f>IF(A11&gt;Retirement!$B$11,NA(),D10)</f>
        <v>89130543.189102799</v>
      </c>
      <c r="C11">
        <f>IF(A11&gt;Retirement!$B$11,NA(),C10*(1+Retirement!$B$12/100))</f>
        <v>7734561.7716099788</v>
      </c>
      <c r="D11">
        <f>IF(A11&gt;Retirement!$B$11,NA(),(B11-C11)*(1+Retirement!$B$13/100))</f>
        <v>87907659.930892259</v>
      </c>
    </row>
    <row r="12" spans="1:4">
      <c r="A12" s="93">
        <f>IF(A11=Retirement!$B$11,NA(),A11+1)</f>
        <v>11</v>
      </c>
      <c r="B12" s="102">
        <f>IF(A12&gt;Retirement!$B$11,NA(),D11)</f>
        <v>87907659.930892259</v>
      </c>
      <c r="C12">
        <f>IF(A12&gt;Retirement!$B$11,NA(),C11*(1+Retirement!$B$12/100))</f>
        <v>8430672.3310548775</v>
      </c>
      <c r="D12">
        <f>IF(A12&gt;Retirement!$B$11,NA(),(B12-C12)*(1+Retirement!$B$13/100))</f>
        <v>85835146.60782437</v>
      </c>
    </row>
    <row r="13" spans="1:4">
      <c r="A13" s="93">
        <f>IF(A12=Retirement!$B$11,NA(),A12+1)</f>
        <v>12</v>
      </c>
      <c r="B13" s="102">
        <f>IF(A13&gt;Retirement!$B$11,NA(),D12)</f>
        <v>85835146.60782437</v>
      </c>
      <c r="C13">
        <f>IF(A13&gt;Retirement!$B$11,NA(),C12*(1+Retirement!$B$12/100))</f>
        <v>9189432.8408498168</v>
      </c>
      <c r="D13">
        <f>IF(A13&gt;Retirement!$B$11,NA(),(B13-C13)*(1+Retirement!$B$13/100))</f>
        <v>82777370.86833252</v>
      </c>
    </row>
    <row r="14" spans="1:4">
      <c r="A14" s="93">
        <f>IF(A13=Retirement!$B$11,NA(),A13+1)</f>
        <v>13</v>
      </c>
      <c r="B14" s="102">
        <f>IF(A14&gt;Retirement!$B$11,NA(),D13)</f>
        <v>82777370.86833252</v>
      </c>
      <c r="C14">
        <f>IF(A14&gt;Retirement!$B$11,NA(),C13*(1+Retirement!$B$12/100))</f>
        <v>10016481.796526302</v>
      </c>
      <c r="D14">
        <f>IF(A14&gt;Retirement!$B$11,NA(),(B14-C14)*(1+Retirement!$B$13/100))</f>
        <v>78581760.197550729</v>
      </c>
    </row>
    <row r="15" spans="1:4">
      <c r="A15" s="93">
        <f>IF(A14=Retirement!$B$11,NA(),A14+1)</f>
        <v>14</v>
      </c>
      <c r="B15" s="102">
        <f>IF(A15&gt;Retirement!$B$11,NA(),D14)</f>
        <v>78581760.197550729</v>
      </c>
      <c r="C15">
        <f>IF(A15&gt;Retirement!$B$11,NA(),C14*(1+Retirement!$B$12/100))</f>
        <v>10917965.158213669</v>
      </c>
      <c r="D15">
        <f>IF(A15&gt;Retirement!$B$11,NA(),(B15-C15)*(1+Retirement!$B$13/100))</f>
        <v>73076898.642484024</v>
      </c>
    </row>
    <row r="16" spans="1:4">
      <c r="A16" s="93">
        <f>IF(A15=Retirement!$B$11,NA(),A15+1)</f>
        <v>15</v>
      </c>
      <c r="B16" s="102">
        <f>IF(A16&gt;Retirement!$B$11,NA(),D15)</f>
        <v>73076898.642484024</v>
      </c>
      <c r="C16">
        <f>IF(A16&gt;Retirement!$B$11,NA(),C15*(1+Retirement!$B$12/100))</f>
        <v>11900582.0224529</v>
      </c>
      <c r="D16">
        <f>IF(A16&gt;Retirement!$B$11,NA(),(B16-C16)*(1+Retirement!$B$13/100))</f>
        <v>66070421.949633621</v>
      </c>
    </row>
    <row r="17" spans="1:4">
      <c r="A17" s="93">
        <f>IF(A16=Retirement!$B$11,NA(),A16+1)</f>
        <v>16</v>
      </c>
      <c r="B17" s="102">
        <f>IF(A17&gt;Retirement!$B$11,NA(),D16)</f>
        <v>66070421.949633621</v>
      </c>
      <c r="C17">
        <f>IF(A17&gt;Retirement!$B$11,NA(),C16*(1+Retirement!$B$12/100))</f>
        <v>12971634.404473662</v>
      </c>
      <c r="D17">
        <f>IF(A17&gt;Retirement!$B$11,NA(),(B17-C17)*(1+Retirement!$B$13/100))</f>
        <v>57346690.54877276</v>
      </c>
    </row>
    <row r="18" spans="1:4">
      <c r="A18" s="93">
        <f>IF(A17=Retirement!$B$11,NA(),A17+1)</f>
        <v>17</v>
      </c>
      <c r="B18" s="102">
        <f>IF(A18&gt;Retirement!$B$11,NA(),D17)</f>
        <v>57346690.54877276</v>
      </c>
      <c r="C18">
        <f>IF(A18&gt;Retirement!$B$11,NA(),C17*(1+Retirement!$B$12/100))</f>
        <v>14139081.500876293</v>
      </c>
      <c r="D18">
        <f>IF(A18&gt;Retirement!$B$11,NA(),(B18-C18)*(1+Retirement!$B$13/100))</f>
        <v>46664217.771728188</v>
      </c>
    </row>
    <row r="19" spans="1:4">
      <c r="A19" s="93">
        <f>IF(A18=Retirement!$B$11,NA(),A18+1)</f>
        <v>18</v>
      </c>
      <c r="B19" s="102">
        <f>IF(A19&gt;Retirement!$B$11,NA(),D18)</f>
        <v>46664217.771728188</v>
      </c>
      <c r="C19">
        <f>IF(A19&gt;Retirement!$B$11,NA(),C18*(1+Retirement!$B$12/100))</f>
        <v>15411598.83595516</v>
      </c>
      <c r="D19">
        <f>IF(A19&gt;Retirement!$B$11,NA(),(B19-C19)*(1+Retirement!$B$13/100))</f>
        <v>33752828.450634874</v>
      </c>
    </row>
    <row r="20" spans="1:4">
      <c r="A20" s="93">
        <f>IF(A19=Retirement!$B$11,NA(),A19+1)</f>
        <v>19</v>
      </c>
      <c r="B20" s="102">
        <f>IF(A20&gt;Retirement!$B$11,NA(),D19)</f>
        <v>33752828.450634874</v>
      </c>
      <c r="C20">
        <f>IF(A20&gt;Retirement!$B$11,NA(),C19*(1+Retirement!$B$12/100))</f>
        <v>16798642.731191125</v>
      </c>
      <c r="D20">
        <f>IF(A20&gt;Retirement!$B$11,NA(),(B20-C20)*(1+Retirement!$B$13/100))</f>
        <v>18310520.576999251</v>
      </c>
    </row>
    <row r="21" spans="1:4">
      <c r="A21" s="93">
        <f>IF(A20=Retirement!$B$11,NA(),A20+1)</f>
        <v>20</v>
      </c>
      <c r="B21" s="102">
        <f>IF(A21&gt;Retirement!$B$11,NA(),D20)</f>
        <v>18310520.576999251</v>
      </c>
      <c r="C21">
        <f>IF(A21&gt;Retirement!$B$11,NA(),C20*(1+Retirement!$B$12/100))</f>
        <v>18310520.576998327</v>
      </c>
      <c r="D21">
        <f>IF(A21&gt;Retirement!$B$11,NA(),(B21-C21)*(1+Retirement!$B$13/100))</f>
        <v>9.9778175354003918E-7</v>
      </c>
    </row>
    <row r="22" spans="1:4">
      <c r="A22" s="93" t="e">
        <f>IF(A21=Retirement!$B$11,NA(),A21+1)</f>
        <v>#N/A</v>
      </c>
      <c r="B22" s="102" t="e">
        <f>IF(A22&gt;Retirement!$B$11,NA(),D21)</f>
        <v>#N/A</v>
      </c>
      <c r="C22" t="e">
        <f>IF(A22&gt;Retirement!$B$11,NA(),C21*(1+Retirement!$B$12/100))</f>
        <v>#N/A</v>
      </c>
      <c r="D22" t="e">
        <f>IF(A22&gt;Retirement!$B$11,NA(),(B22-C22)*(1+Retirement!$B$13/100))</f>
        <v>#N/A</v>
      </c>
    </row>
    <row r="23" spans="1:4">
      <c r="A23" s="93" t="e">
        <f>IF(A22=Retirement!$B$11,NA(),A22+1)</f>
        <v>#N/A</v>
      </c>
      <c r="B23" s="102" t="e">
        <f>IF(A23&gt;Retirement!$B$11,NA(),D22)</f>
        <v>#N/A</v>
      </c>
      <c r="C23" t="e">
        <f>IF(A23&gt;Retirement!$B$11,NA(),C22*(1+Retirement!$B$12/100))</f>
        <v>#N/A</v>
      </c>
      <c r="D23" t="e">
        <f>IF(A23&gt;Retirement!$B$11,NA(),(B23-C23)*(1+Retirement!$B$13/100))</f>
        <v>#N/A</v>
      </c>
    </row>
    <row r="24" spans="1:4">
      <c r="A24" s="93" t="e">
        <f>IF(A23=Retirement!$B$11,NA(),A23+1)</f>
        <v>#N/A</v>
      </c>
      <c r="B24" s="102" t="e">
        <f>IF(A24&gt;Retirement!$B$11,NA(),D23)</f>
        <v>#N/A</v>
      </c>
      <c r="C24" t="e">
        <f>IF(A24&gt;Retirement!$B$11,NA(),C23*(1+Retirement!$B$12/100))</f>
        <v>#N/A</v>
      </c>
      <c r="D24" t="e">
        <f>IF(A24&gt;Retirement!$B$11,NA(),(B24-C24)*(1+Retirement!$B$13/100))</f>
        <v>#N/A</v>
      </c>
    </row>
    <row r="25" spans="1:4">
      <c r="A25" s="93" t="e">
        <f>IF(A24=Retirement!$B$11,NA(),A24+1)</f>
        <v>#N/A</v>
      </c>
      <c r="B25" s="102" t="e">
        <f>IF(A25&gt;Retirement!$B$11,NA(),D24)</f>
        <v>#N/A</v>
      </c>
      <c r="C25" t="e">
        <f>IF(A25&gt;Retirement!$B$11,NA(),C24*(1+Retirement!$B$12/100))</f>
        <v>#N/A</v>
      </c>
      <c r="D25" t="e">
        <f>IF(A25&gt;Retirement!$B$11,NA(),(B25-C25)*(1+Retirement!$B$13/100))</f>
        <v>#N/A</v>
      </c>
    </row>
    <row r="26" spans="1:4">
      <c r="A26" s="93" t="e">
        <f>IF(A25=Retirement!$B$11,NA(),A25+1)</f>
        <v>#N/A</v>
      </c>
      <c r="B26" s="102" t="e">
        <f>IF(A26&gt;Retirement!$B$11,NA(),D25)</f>
        <v>#N/A</v>
      </c>
      <c r="C26" t="e">
        <f>IF(A26&gt;Retirement!$B$11,NA(),C25*(1+Retirement!$B$12/100))</f>
        <v>#N/A</v>
      </c>
      <c r="D26" t="e">
        <f>IF(A26&gt;Retirement!$B$11,NA(),(B26-C26)*(1+Retirement!$B$13/100))</f>
        <v>#N/A</v>
      </c>
    </row>
    <row r="27" spans="1:4">
      <c r="A27" s="93" t="e">
        <f>IF(A26=Retirement!$B$11,NA(),A26+1)</f>
        <v>#N/A</v>
      </c>
      <c r="B27" s="102" t="e">
        <f>IF(A27&gt;Retirement!$B$11,NA(),D26)</f>
        <v>#N/A</v>
      </c>
      <c r="C27" t="e">
        <f>IF(A27&gt;Retirement!$B$11,NA(),C26*(1+Retirement!$B$12/100))</f>
        <v>#N/A</v>
      </c>
      <c r="D27" t="e">
        <f>IF(A27&gt;Retirement!$B$11,NA(),(B27-C27)*(1+Retirement!$B$13/100))</f>
        <v>#N/A</v>
      </c>
    </row>
    <row r="28" spans="1:4">
      <c r="A28" s="93" t="e">
        <f>IF(A27=Retirement!$B$11,NA(),A27+1)</f>
        <v>#N/A</v>
      </c>
      <c r="B28" s="102" t="e">
        <f>IF(A28&gt;Retirement!$B$11,NA(),D27)</f>
        <v>#N/A</v>
      </c>
      <c r="C28" t="e">
        <f>IF(A28&gt;Retirement!$B$11,NA(),C27*(1+Retirement!$B$12/100))</f>
        <v>#N/A</v>
      </c>
      <c r="D28" t="e">
        <f>IF(A28&gt;Retirement!$B$11,NA(),(B28-C28)*(1+Retirement!$B$13/100))</f>
        <v>#N/A</v>
      </c>
    </row>
    <row r="29" spans="1:4">
      <c r="A29" s="93" t="e">
        <f>IF(A28=Retirement!$B$11,NA(),A28+1)</f>
        <v>#N/A</v>
      </c>
      <c r="B29" s="102" t="e">
        <f>IF(A29&gt;Retirement!$B$11,NA(),D28)</f>
        <v>#N/A</v>
      </c>
      <c r="C29" t="e">
        <f>IF(A29&gt;Retirement!$B$11,NA(),C28*(1+Retirement!$B$12/100))</f>
        <v>#N/A</v>
      </c>
      <c r="D29" t="e">
        <f>IF(A29&gt;Retirement!$B$11,NA(),(B29-C29)*(1+Retirement!$B$13/100))</f>
        <v>#N/A</v>
      </c>
    </row>
    <row r="30" spans="1:4">
      <c r="A30" s="93" t="e">
        <f>IF(A29=Retirement!$B$11,NA(),A29+1)</f>
        <v>#N/A</v>
      </c>
      <c r="B30" s="102" t="e">
        <f>IF(A30&gt;Retirement!$B$11,NA(),D29)</f>
        <v>#N/A</v>
      </c>
      <c r="C30" t="e">
        <f>IF(A30&gt;Retirement!$B$11,NA(),C29*(1+Retirement!$B$12/100))</f>
        <v>#N/A</v>
      </c>
      <c r="D30" t="e">
        <f>IF(A30&gt;Retirement!$B$11,NA(),(B30-C30)*(1+Retirement!$B$13/100))</f>
        <v>#N/A</v>
      </c>
    </row>
    <row r="31" spans="1:4">
      <c r="A31" s="93" t="e">
        <f>IF(A30=Retirement!$B$11,NA(),A30+1)</f>
        <v>#N/A</v>
      </c>
      <c r="B31" s="102" t="e">
        <f>IF(A31&gt;Retirement!$B$11,NA(),D30)</f>
        <v>#N/A</v>
      </c>
      <c r="C31" t="e">
        <f>IF(A31&gt;Retirement!$B$11,NA(),C30*(1+Retirement!$B$12/100))</f>
        <v>#N/A</v>
      </c>
      <c r="D31" t="e">
        <f>IF(A31&gt;Retirement!$B$11,NA(),(B31-C31)*(1+Retirement!$B$13/100))</f>
        <v>#N/A</v>
      </c>
    </row>
    <row r="32" spans="1:4">
      <c r="A32" s="93" t="e">
        <f>IF(A31=Retirement!$B$11,NA(),A31+1)</f>
        <v>#N/A</v>
      </c>
      <c r="B32" s="102" t="e">
        <f>IF(A32&gt;Retirement!$B$11,NA(),D31)</f>
        <v>#N/A</v>
      </c>
      <c r="C32" t="e">
        <f>IF(A32&gt;Retirement!$B$11,NA(),C31*(1+Retirement!$B$12/100))</f>
        <v>#N/A</v>
      </c>
      <c r="D32" t="e">
        <f>IF(A32&gt;Retirement!$B$11,NA(),(B32-C32)*(1+Retirement!$B$13/100))</f>
        <v>#N/A</v>
      </c>
    </row>
    <row r="33" spans="1:4">
      <c r="A33" s="93" t="e">
        <f>IF(A32=Retirement!$B$11,NA(),A32+1)</f>
        <v>#N/A</v>
      </c>
      <c r="B33" s="102" t="e">
        <f>IF(A33&gt;Retirement!$B$11,NA(),D32)</f>
        <v>#N/A</v>
      </c>
      <c r="C33" t="e">
        <f>IF(A33&gt;Retirement!$B$11,NA(),C32*(1+Retirement!$B$12/100))</f>
        <v>#N/A</v>
      </c>
      <c r="D33" t="e">
        <f>IF(A33&gt;Retirement!$B$11,NA(),(B33-C33)*(1+Retirement!$B$13/100))</f>
        <v>#N/A</v>
      </c>
    </row>
    <row r="34" spans="1:4">
      <c r="A34" s="93" t="e">
        <f>IF(A33=Retirement!$B$11,NA(),A33+1)</f>
        <v>#N/A</v>
      </c>
      <c r="B34" s="102" t="e">
        <f>IF(A34&gt;Retirement!$B$11,NA(),D33)</f>
        <v>#N/A</v>
      </c>
      <c r="C34" t="e">
        <f>IF(A34&gt;Retirement!$B$11,NA(),C33*(1+Retirement!$B$12/100))</f>
        <v>#N/A</v>
      </c>
      <c r="D34" t="e">
        <f>IF(A34&gt;Retirement!$B$11,NA(),(B34-C34)*(1+Retirement!$B$13/100))</f>
        <v>#N/A</v>
      </c>
    </row>
    <row r="35" spans="1:4">
      <c r="A35" s="93" t="e">
        <f>IF(A34=Retirement!$B$11,NA(),A34+1)</f>
        <v>#N/A</v>
      </c>
      <c r="B35" s="102" t="e">
        <f>IF(A35&gt;Retirement!$B$11,NA(),D34)</f>
        <v>#N/A</v>
      </c>
      <c r="C35" t="e">
        <f>IF(A35&gt;Retirement!$B$11,NA(),C34*(1+Retirement!$B$12/100))</f>
        <v>#N/A</v>
      </c>
      <c r="D35" t="e">
        <f>IF(A35&gt;Retirement!$B$11,NA(),(B35-C35)*(1+Retirement!$B$13/100))</f>
        <v>#N/A</v>
      </c>
    </row>
    <row r="36" spans="1:4">
      <c r="A36" s="93" t="e">
        <f>IF(A35=Retirement!$B$11,NA(),A35+1)</f>
        <v>#N/A</v>
      </c>
      <c r="B36" s="102" t="e">
        <f>IF(A36&gt;Retirement!$B$11,NA(),D35)</f>
        <v>#N/A</v>
      </c>
      <c r="C36" t="e">
        <f>IF(A36&gt;Retirement!$B$11,NA(),C35*(1+Retirement!$B$12/100))</f>
        <v>#N/A</v>
      </c>
      <c r="D36" t="e">
        <f>IF(A36&gt;Retirement!$B$11,NA(),(B36-C36)*(1+Retirement!$B$13/100))</f>
        <v>#N/A</v>
      </c>
    </row>
    <row r="37" spans="1:4">
      <c r="A37" s="93" t="e">
        <f>IF(A36=Retirement!$B$11,NA(),A36+1)</f>
        <v>#N/A</v>
      </c>
      <c r="B37" s="102" t="e">
        <f>IF(A37&gt;Retirement!$B$11,NA(),D36)</f>
        <v>#N/A</v>
      </c>
      <c r="C37" t="e">
        <f>IF(A37&gt;Retirement!$B$11,NA(),C36*(1+Retirement!$B$12/100))</f>
        <v>#N/A</v>
      </c>
      <c r="D37" t="e">
        <f>IF(A37&gt;Retirement!$B$11,NA(),(B37-C37)*(1+Retirement!$B$13/100))</f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zoomScale="220" zoomScaleNormal="220" workbookViewId="0">
      <selection activeCell="B1" sqref="B1"/>
    </sheetView>
  </sheetViews>
  <sheetFormatPr defaultRowHeight="14.4"/>
  <cols>
    <col min="1" max="1" width="40.5546875" bestFit="1" customWidth="1"/>
    <col min="2" max="2" width="9.33203125" bestFit="1" customWidth="1"/>
  </cols>
  <sheetData>
    <row r="1" spans="1:2">
      <c r="A1" s="19" t="s">
        <v>42</v>
      </c>
      <c r="B1" s="21" t="s">
        <v>48</v>
      </c>
    </row>
    <row r="2" spans="1:2">
      <c r="A2" s="19" t="s">
        <v>43</v>
      </c>
      <c r="B2" s="21">
        <v>6</v>
      </c>
    </row>
    <row r="3" spans="1:2">
      <c r="A3" s="19" t="s">
        <v>44</v>
      </c>
      <c r="B3" s="23">
        <v>1000000</v>
      </c>
    </row>
    <row r="4" spans="1:2">
      <c r="A4" s="19" t="s">
        <v>45</v>
      </c>
      <c r="B4" s="25">
        <v>0.1</v>
      </c>
    </row>
    <row r="5" spans="1:2">
      <c r="A5" s="19" t="s">
        <v>63</v>
      </c>
      <c r="B5" s="27">
        <v>0.08</v>
      </c>
    </row>
    <row r="6" spans="1:2">
      <c r="A6" s="19" t="s">
        <v>46</v>
      </c>
      <c r="B6" s="29">
        <f>B3*(1+B4)^B2</f>
        <v>1771561.0000000009</v>
      </c>
    </row>
    <row r="7" spans="1:2">
      <c r="A7" s="19" t="s">
        <v>49</v>
      </c>
      <c r="B7" s="23">
        <v>0</v>
      </c>
    </row>
    <row r="8" spans="1:2">
      <c r="A8" s="19" t="s">
        <v>50</v>
      </c>
      <c r="B8" s="27">
        <v>0.08</v>
      </c>
    </row>
    <row r="9" spans="1:2">
      <c r="A9" s="19" t="s">
        <v>51</v>
      </c>
      <c r="B9" s="29">
        <f>B7*(1+B8)^AB2</f>
        <v>0</v>
      </c>
    </row>
    <row r="10" spans="1:2">
      <c r="A10" s="19" t="s">
        <v>52</v>
      </c>
      <c r="B10" s="27">
        <v>0.1</v>
      </c>
    </row>
    <row r="11" spans="1:2">
      <c r="A11" s="19" t="s">
        <v>53</v>
      </c>
      <c r="B11" s="31">
        <f>IF(B5=B10,(B6-B9)/(12*B2*(1+B5)^B2),(B6-B9)*(B5-B10)/(12*(1+B5)*((1+B5)^(B2)-(1+B10)^(B2))))</f>
        <v>14802.856793345212</v>
      </c>
    </row>
    <row r="12" spans="1:2">
      <c r="A12" s="63" t="str">
        <f>CONCATENATE(AA3,AB3,AD3)</f>
        <v/>
      </c>
      <c r="B12" s="63"/>
    </row>
  </sheetData>
  <conditionalFormatting sqref="A2">
    <cfRule type="expression" dxfId="0" priority="3">
      <formula>$AB$4=1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D12" sqref="D12"/>
    </sheetView>
  </sheetViews>
  <sheetFormatPr defaultRowHeight="14.4"/>
  <cols>
    <col min="1" max="1" width="4.5546875" bestFit="1" customWidth="1"/>
    <col min="2" max="2" width="5" bestFit="1" customWidth="1"/>
    <col min="3" max="3" width="10.109375" customWidth="1"/>
    <col min="4" max="4" width="14.33203125" bestFit="1" customWidth="1"/>
    <col min="257" max="257" width="4.5546875" bestFit="1" customWidth="1"/>
    <col min="258" max="258" width="5" bestFit="1" customWidth="1"/>
    <col min="259" max="259" width="10.109375" customWidth="1"/>
    <col min="260" max="260" width="14.33203125" bestFit="1" customWidth="1"/>
    <col min="513" max="513" width="4.5546875" bestFit="1" customWidth="1"/>
    <col min="514" max="514" width="5" bestFit="1" customWidth="1"/>
    <col min="515" max="515" width="10.109375" customWidth="1"/>
    <col min="516" max="516" width="14.33203125" bestFit="1" customWidth="1"/>
    <col min="769" max="769" width="4.5546875" bestFit="1" customWidth="1"/>
    <col min="770" max="770" width="5" bestFit="1" customWidth="1"/>
    <col min="771" max="771" width="10.109375" customWidth="1"/>
    <col min="772" max="772" width="14.33203125" bestFit="1" customWidth="1"/>
    <col min="1025" max="1025" width="4.5546875" bestFit="1" customWidth="1"/>
    <col min="1026" max="1026" width="5" bestFit="1" customWidth="1"/>
    <col min="1027" max="1027" width="10.109375" customWidth="1"/>
    <col min="1028" max="1028" width="14.33203125" bestFit="1" customWidth="1"/>
    <col min="1281" max="1281" width="4.5546875" bestFit="1" customWidth="1"/>
    <col min="1282" max="1282" width="5" bestFit="1" customWidth="1"/>
    <col min="1283" max="1283" width="10.109375" customWidth="1"/>
    <col min="1284" max="1284" width="14.33203125" bestFit="1" customWidth="1"/>
    <col min="1537" max="1537" width="4.5546875" bestFit="1" customWidth="1"/>
    <col min="1538" max="1538" width="5" bestFit="1" customWidth="1"/>
    <col min="1539" max="1539" width="10.109375" customWidth="1"/>
    <col min="1540" max="1540" width="14.33203125" bestFit="1" customWidth="1"/>
    <col min="1793" max="1793" width="4.5546875" bestFit="1" customWidth="1"/>
    <col min="1794" max="1794" width="5" bestFit="1" customWidth="1"/>
    <col min="1795" max="1795" width="10.109375" customWidth="1"/>
    <col min="1796" max="1796" width="14.33203125" bestFit="1" customWidth="1"/>
    <col min="2049" max="2049" width="4.5546875" bestFit="1" customWidth="1"/>
    <col min="2050" max="2050" width="5" bestFit="1" customWidth="1"/>
    <col min="2051" max="2051" width="10.109375" customWidth="1"/>
    <col min="2052" max="2052" width="14.33203125" bestFit="1" customWidth="1"/>
    <col min="2305" max="2305" width="4.5546875" bestFit="1" customWidth="1"/>
    <col min="2306" max="2306" width="5" bestFit="1" customWidth="1"/>
    <col min="2307" max="2307" width="10.109375" customWidth="1"/>
    <col min="2308" max="2308" width="14.33203125" bestFit="1" customWidth="1"/>
    <col min="2561" max="2561" width="4.5546875" bestFit="1" customWidth="1"/>
    <col min="2562" max="2562" width="5" bestFit="1" customWidth="1"/>
    <col min="2563" max="2563" width="10.109375" customWidth="1"/>
    <col min="2564" max="2564" width="14.33203125" bestFit="1" customWidth="1"/>
    <col min="2817" max="2817" width="4.5546875" bestFit="1" customWidth="1"/>
    <col min="2818" max="2818" width="5" bestFit="1" customWidth="1"/>
    <col min="2819" max="2819" width="10.109375" customWidth="1"/>
    <col min="2820" max="2820" width="14.33203125" bestFit="1" customWidth="1"/>
    <col min="3073" max="3073" width="4.5546875" bestFit="1" customWidth="1"/>
    <col min="3074" max="3074" width="5" bestFit="1" customWidth="1"/>
    <col min="3075" max="3075" width="10.109375" customWidth="1"/>
    <col min="3076" max="3076" width="14.33203125" bestFit="1" customWidth="1"/>
    <col min="3329" max="3329" width="4.5546875" bestFit="1" customWidth="1"/>
    <col min="3330" max="3330" width="5" bestFit="1" customWidth="1"/>
    <col min="3331" max="3331" width="10.109375" customWidth="1"/>
    <col min="3332" max="3332" width="14.33203125" bestFit="1" customWidth="1"/>
    <col min="3585" max="3585" width="4.5546875" bestFit="1" customWidth="1"/>
    <col min="3586" max="3586" width="5" bestFit="1" customWidth="1"/>
    <col min="3587" max="3587" width="10.109375" customWidth="1"/>
    <col min="3588" max="3588" width="14.33203125" bestFit="1" customWidth="1"/>
    <col min="3841" max="3841" width="4.5546875" bestFit="1" customWidth="1"/>
    <col min="3842" max="3842" width="5" bestFit="1" customWidth="1"/>
    <col min="3843" max="3843" width="10.109375" customWidth="1"/>
    <col min="3844" max="3844" width="14.33203125" bestFit="1" customWidth="1"/>
    <col min="4097" max="4097" width="4.5546875" bestFit="1" customWidth="1"/>
    <col min="4098" max="4098" width="5" bestFit="1" customWidth="1"/>
    <col min="4099" max="4099" width="10.109375" customWidth="1"/>
    <col min="4100" max="4100" width="14.33203125" bestFit="1" customWidth="1"/>
    <col min="4353" max="4353" width="4.5546875" bestFit="1" customWidth="1"/>
    <col min="4354" max="4354" width="5" bestFit="1" customWidth="1"/>
    <col min="4355" max="4355" width="10.109375" customWidth="1"/>
    <col min="4356" max="4356" width="14.33203125" bestFit="1" customWidth="1"/>
    <col min="4609" max="4609" width="4.5546875" bestFit="1" customWidth="1"/>
    <col min="4610" max="4610" width="5" bestFit="1" customWidth="1"/>
    <col min="4611" max="4611" width="10.109375" customWidth="1"/>
    <col min="4612" max="4612" width="14.33203125" bestFit="1" customWidth="1"/>
    <col min="4865" max="4865" width="4.5546875" bestFit="1" customWidth="1"/>
    <col min="4866" max="4866" width="5" bestFit="1" customWidth="1"/>
    <col min="4867" max="4867" width="10.109375" customWidth="1"/>
    <col min="4868" max="4868" width="14.33203125" bestFit="1" customWidth="1"/>
    <col min="5121" max="5121" width="4.5546875" bestFit="1" customWidth="1"/>
    <col min="5122" max="5122" width="5" bestFit="1" customWidth="1"/>
    <col min="5123" max="5123" width="10.109375" customWidth="1"/>
    <col min="5124" max="5124" width="14.33203125" bestFit="1" customWidth="1"/>
    <col min="5377" max="5377" width="4.5546875" bestFit="1" customWidth="1"/>
    <col min="5378" max="5378" width="5" bestFit="1" customWidth="1"/>
    <col min="5379" max="5379" width="10.109375" customWidth="1"/>
    <col min="5380" max="5380" width="14.33203125" bestFit="1" customWidth="1"/>
    <col min="5633" max="5633" width="4.5546875" bestFit="1" customWidth="1"/>
    <col min="5634" max="5634" width="5" bestFit="1" customWidth="1"/>
    <col min="5635" max="5635" width="10.109375" customWidth="1"/>
    <col min="5636" max="5636" width="14.33203125" bestFit="1" customWidth="1"/>
    <col min="5889" max="5889" width="4.5546875" bestFit="1" customWidth="1"/>
    <col min="5890" max="5890" width="5" bestFit="1" customWidth="1"/>
    <col min="5891" max="5891" width="10.109375" customWidth="1"/>
    <col min="5892" max="5892" width="14.33203125" bestFit="1" customWidth="1"/>
    <col min="6145" max="6145" width="4.5546875" bestFit="1" customWidth="1"/>
    <col min="6146" max="6146" width="5" bestFit="1" customWidth="1"/>
    <col min="6147" max="6147" width="10.109375" customWidth="1"/>
    <col min="6148" max="6148" width="14.33203125" bestFit="1" customWidth="1"/>
    <col min="6401" max="6401" width="4.5546875" bestFit="1" customWidth="1"/>
    <col min="6402" max="6402" width="5" bestFit="1" customWidth="1"/>
    <col min="6403" max="6403" width="10.109375" customWidth="1"/>
    <col min="6404" max="6404" width="14.33203125" bestFit="1" customWidth="1"/>
    <col min="6657" max="6657" width="4.5546875" bestFit="1" customWidth="1"/>
    <col min="6658" max="6658" width="5" bestFit="1" customWidth="1"/>
    <col min="6659" max="6659" width="10.109375" customWidth="1"/>
    <col min="6660" max="6660" width="14.33203125" bestFit="1" customWidth="1"/>
    <col min="6913" max="6913" width="4.5546875" bestFit="1" customWidth="1"/>
    <col min="6914" max="6914" width="5" bestFit="1" customWidth="1"/>
    <col min="6915" max="6915" width="10.109375" customWidth="1"/>
    <col min="6916" max="6916" width="14.33203125" bestFit="1" customWidth="1"/>
    <col min="7169" max="7169" width="4.5546875" bestFit="1" customWidth="1"/>
    <col min="7170" max="7170" width="5" bestFit="1" customWidth="1"/>
    <col min="7171" max="7171" width="10.109375" customWidth="1"/>
    <col min="7172" max="7172" width="14.33203125" bestFit="1" customWidth="1"/>
    <col min="7425" max="7425" width="4.5546875" bestFit="1" customWidth="1"/>
    <col min="7426" max="7426" width="5" bestFit="1" customWidth="1"/>
    <col min="7427" max="7427" width="10.109375" customWidth="1"/>
    <col min="7428" max="7428" width="14.33203125" bestFit="1" customWidth="1"/>
    <col min="7681" max="7681" width="4.5546875" bestFit="1" customWidth="1"/>
    <col min="7682" max="7682" width="5" bestFit="1" customWidth="1"/>
    <col min="7683" max="7683" width="10.109375" customWidth="1"/>
    <col min="7684" max="7684" width="14.33203125" bestFit="1" customWidth="1"/>
    <col min="7937" max="7937" width="4.5546875" bestFit="1" customWidth="1"/>
    <col min="7938" max="7938" width="5" bestFit="1" customWidth="1"/>
    <col min="7939" max="7939" width="10.109375" customWidth="1"/>
    <col min="7940" max="7940" width="14.33203125" bestFit="1" customWidth="1"/>
    <col min="8193" max="8193" width="4.5546875" bestFit="1" customWidth="1"/>
    <col min="8194" max="8194" width="5" bestFit="1" customWidth="1"/>
    <col min="8195" max="8195" width="10.109375" customWidth="1"/>
    <col min="8196" max="8196" width="14.33203125" bestFit="1" customWidth="1"/>
    <col min="8449" max="8449" width="4.5546875" bestFit="1" customWidth="1"/>
    <col min="8450" max="8450" width="5" bestFit="1" customWidth="1"/>
    <col min="8451" max="8451" width="10.109375" customWidth="1"/>
    <col min="8452" max="8452" width="14.33203125" bestFit="1" customWidth="1"/>
    <col min="8705" max="8705" width="4.5546875" bestFit="1" customWidth="1"/>
    <col min="8706" max="8706" width="5" bestFit="1" customWidth="1"/>
    <col min="8707" max="8707" width="10.109375" customWidth="1"/>
    <col min="8708" max="8708" width="14.33203125" bestFit="1" customWidth="1"/>
    <col min="8961" max="8961" width="4.5546875" bestFit="1" customWidth="1"/>
    <col min="8962" max="8962" width="5" bestFit="1" customWidth="1"/>
    <col min="8963" max="8963" width="10.109375" customWidth="1"/>
    <col min="8964" max="8964" width="14.33203125" bestFit="1" customWidth="1"/>
    <col min="9217" max="9217" width="4.5546875" bestFit="1" customWidth="1"/>
    <col min="9218" max="9218" width="5" bestFit="1" customWidth="1"/>
    <col min="9219" max="9219" width="10.109375" customWidth="1"/>
    <col min="9220" max="9220" width="14.33203125" bestFit="1" customWidth="1"/>
    <col min="9473" max="9473" width="4.5546875" bestFit="1" customWidth="1"/>
    <col min="9474" max="9474" width="5" bestFit="1" customWidth="1"/>
    <col min="9475" max="9475" width="10.109375" customWidth="1"/>
    <col min="9476" max="9476" width="14.33203125" bestFit="1" customWidth="1"/>
    <col min="9729" max="9729" width="4.5546875" bestFit="1" customWidth="1"/>
    <col min="9730" max="9730" width="5" bestFit="1" customWidth="1"/>
    <col min="9731" max="9731" width="10.109375" customWidth="1"/>
    <col min="9732" max="9732" width="14.33203125" bestFit="1" customWidth="1"/>
    <col min="9985" max="9985" width="4.5546875" bestFit="1" customWidth="1"/>
    <col min="9986" max="9986" width="5" bestFit="1" customWidth="1"/>
    <col min="9987" max="9987" width="10.109375" customWidth="1"/>
    <col min="9988" max="9988" width="14.33203125" bestFit="1" customWidth="1"/>
    <col min="10241" max="10241" width="4.5546875" bestFit="1" customWidth="1"/>
    <col min="10242" max="10242" width="5" bestFit="1" customWidth="1"/>
    <col min="10243" max="10243" width="10.109375" customWidth="1"/>
    <col min="10244" max="10244" width="14.33203125" bestFit="1" customWidth="1"/>
    <col min="10497" max="10497" width="4.5546875" bestFit="1" customWidth="1"/>
    <col min="10498" max="10498" width="5" bestFit="1" customWidth="1"/>
    <col min="10499" max="10499" width="10.109375" customWidth="1"/>
    <col min="10500" max="10500" width="14.33203125" bestFit="1" customWidth="1"/>
    <col min="10753" max="10753" width="4.5546875" bestFit="1" customWidth="1"/>
    <col min="10754" max="10754" width="5" bestFit="1" customWidth="1"/>
    <col min="10755" max="10755" width="10.109375" customWidth="1"/>
    <col min="10756" max="10756" width="14.33203125" bestFit="1" customWidth="1"/>
    <col min="11009" max="11009" width="4.5546875" bestFit="1" customWidth="1"/>
    <col min="11010" max="11010" width="5" bestFit="1" customWidth="1"/>
    <col min="11011" max="11011" width="10.109375" customWidth="1"/>
    <col min="11012" max="11012" width="14.33203125" bestFit="1" customWidth="1"/>
    <col min="11265" max="11265" width="4.5546875" bestFit="1" customWidth="1"/>
    <col min="11266" max="11266" width="5" bestFit="1" customWidth="1"/>
    <col min="11267" max="11267" width="10.109375" customWidth="1"/>
    <col min="11268" max="11268" width="14.33203125" bestFit="1" customWidth="1"/>
    <col min="11521" max="11521" width="4.5546875" bestFit="1" customWidth="1"/>
    <col min="11522" max="11522" width="5" bestFit="1" customWidth="1"/>
    <col min="11523" max="11523" width="10.109375" customWidth="1"/>
    <col min="11524" max="11524" width="14.33203125" bestFit="1" customWidth="1"/>
    <col min="11777" max="11777" width="4.5546875" bestFit="1" customWidth="1"/>
    <col min="11778" max="11778" width="5" bestFit="1" customWidth="1"/>
    <col min="11779" max="11779" width="10.109375" customWidth="1"/>
    <col min="11780" max="11780" width="14.33203125" bestFit="1" customWidth="1"/>
    <col min="12033" max="12033" width="4.5546875" bestFit="1" customWidth="1"/>
    <col min="12034" max="12034" width="5" bestFit="1" customWidth="1"/>
    <col min="12035" max="12035" width="10.109375" customWidth="1"/>
    <col min="12036" max="12036" width="14.33203125" bestFit="1" customWidth="1"/>
    <col min="12289" max="12289" width="4.5546875" bestFit="1" customWidth="1"/>
    <col min="12290" max="12290" width="5" bestFit="1" customWidth="1"/>
    <col min="12291" max="12291" width="10.109375" customWidth="1"/>
    <col min="12292" max="12292" width="14.33203125" bestFit="1" customWidth="1"/>
    <col min="12545" max="12545" width="4.5546875" bestFit="1" customWidth="1"/>
    <col min="12546" max="12546" width="5" bestFit="1" customWidth="1"/>
    <col min="12547" max="12547" width="10.109375" customWidth="1"/>
    <col min="12548" max="12548" width="14.33203125" bestFit="1" customWidth="1"/>
    <col min="12801" max="12801" width="4.5546875" bestFit="1" customWidth="1"/>
    <col min="12802" max="12802" width="5" bestFit="1" customWidth="1"/>
    <col min="12803" max="12803" width="10.109375" customWidth="1"/>
    <col min="12804" max="12804" width="14.33203125" bestFit="1" customWidth="1"/>
    <col min="13057" max="13057" width="4.5546875" bestFit="1" customWidth="1"/>
    <col min="13058" max="13058" width="5" bestFit="1" customWidth="1"/>
    <col min="13059" max="13059" width="10.109375" customWidth="1"/>
    <col min="13060" max="13060" width="14.33203125" bestFit="1" customWidth="1"/>
    <col min="13313" max="13313" width="4.5546875" bestFit="1" customWidth="1"/>
    <col min="13314" max="13314" width="5" bestFit="1" customWidth="1"/>
    <col min="13315" max="13315" width="10.109375" customWidth="1"/>
    <col min="13316" max="13316" width="14.33203125" bestFit="1" customWidth="1"/>
    <col min="13569" max="13569" width="4.5546875" bestFit="1" customWidth="1"/>
    <col min="13570" max="13570" width="5" bestFit="1" customWidth="1"/>
    <col min="13571" max="13571" width="10.109375" customWidth="1"/>
    <col min="13572" max="13572" width="14.33203125" bestFit="1" customWidth="1"/>
    <col min="13825" max="13825" width="4.5546875" bestFit="1" customWidth="1"/>
    <col min="13826" max="13826" width="5" bestFit="1" customWidth="1"/>
    <col min="13827" max="13827" width="10.109375" customWidth="1"/>
    <col min="13828" max="13828" width="14.33203125" bestFit="1" customWidth="1"/>
    <col min="14081" max="14081" width="4.5546875" bestFit="1" customWidth="1"/>
    <col min="14082" max="14082" width="5" bestFit="1" customWidth="1"/>
    <col min="14083" max="14083" width="10.109375" customWidth="1"/>
    <col min="14084" max="14084" width="14.33203125" bestFit="1" customWidth="1"/>
    <col min="14337" max="14337" width="4.5546875" bestFit="1" customWidth="1"/>
    <col min="14338" max="14338" width="5" bestFit="1" customWidth="1"/>
    <col min="14339" max="14339" width="10.109375" customWidth="1"/>
    <col min="14340" max="14340" width="14.33203125" bestFit="1" customWidth="1"/>
    <col min="14593" max="14593" width="4.5546875" bestFit="1" customWidth="1"/>
    <col min="14594" max="14594" width="5" bestFit="1" customWidth="1"/>
    <col min="14595" max="14595" width="10.109375" customWidth="1"/>
    <col min="14596" max="14596" width="14.33203125" bestFit="1" customWidth="1"/>
    <col min="14849" max="14849" width="4.5546875" bestFit="1" customWidth="1"/>
    <col min="14850" max="14850" width="5" bestFit="1" customWidth="1"/>
    <col min="14851" max="14851" width="10.109375" customWidth="1"/>
    <col min="14852" max="14852" width="14.33203125" bestFit="1" customWidth="1"/>
    <col min="15105" max="15105" width="4.5546875" bestFit="1" customWidth="1"/>
    <col min="15106" max="15106" width="5" bestFit="1" customWidth="1"/>
    <col min="15107" max="15107" width="10.109375" customWidth="1"/>
    <col min="15108" max="15108" width="14.33203125" bestFit="1" customWidth="1"/>
    <col min="15361" max="15361" width="4.5546875" bestFit="1" customWidth="1"/>
    <col min="15362" max="15362" width="5" bestFit="1" customWidth="1"/>
    <col min="15363" max="15363" width="10.109375" customWidth="1"/>
    <col min="15364" max="15364" width="14.33203125" bestFit="1" customWidth="1"/>
    <col min="15617" max="15617" width="4.5546875" bestFit="1" customWidth="1"/>
    <col min="15618" max="15618" width="5" bestFit="1" customWidth="1"/>
    <col min="15619" max="15619" width="10.109375" customWidth="1"/>
    <col min="15620" max="15620" width="14.33203125" bestFit="1" customWidth="1"/>
    <col min="15873" max="15873" width="4.5546875" bestFit="1" customWidth="1"/>
    <col min="15874" max="15874" width="5" bestFit="1" customWidth="1"/>
    <col min="15875" max="15875" width="10.109375" customWidth="1"/>
    <col min="15876" max="15876" width="14.33203125" bestFit="1" customWidth="1"/>
    <col min="16129" max="16129" width="4.5546875" bestFit="1" customWidth="1"/>
    <col min="16130" max="16130" width="5" bestFit="1" customWidth="1"/>
    <col min="16131" max="16131" width="10.109375" customWidth="1"/>
    <col min="16132" max="16132" width="14.33203125" bestFit="1" customWidth="1"/>
  </cols>
  <sheetData>
    <row r="1" spans="1:16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0"/>
    </row>
    <row r="2" spans="1:16">
      <c r="A2" s="115" t="s">
        <v>99</v>
      </c>
      <c r="B2" s="69"/>
      <c r="C2" s="69"/>
      <c r="D2" s="69"/>
      <c r="E2" s="116">
        <v>0.1</v>
      </c>
      <c r="F2" s="100"/>
      <c r="G2" s="117" t="s">
        <v>100</v>
      </c>
      <c r="H2" s="100"/>
      <c r="I2" s="100"/>
      <c r="J2" s="100"/>
      <c r="K2" s="100"/>
      <c r="L2" s="100"/>
      <c r="M2" s="100"/>
      <c r="N2" s="100"/>
      <c r="O2" s="100"/>
      <c r="P2" s="100"/>
    </row>
    <row r="3" spans="1:16">
      <c r="A3" s="130" t="s">
        <v>101</v>
      </c>
      <c r="B3" s="130" t="s">
        <v>54</v>
      </c>
      <c r="C3" s="131" t="s">
        <v>102</v>
      </c>
      <c r="D3" s="131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>
      <c r="A4" s="130"/>
      <c r="B4" s="130"/>
      <c r="C4" s="116" t="s">
        <v>103</v>
      </c>
      <c r="D4" s="110" t="s">
        <v>104</v>
      </c>
      <c r="E4" s="98" t="s">
        <v>105</v>
      </c>
      <c r="F4" s="98" t="s">
        <v>106</v>
      </c>
      <c r="G4" s="98" t="s">
        <v>107</v>
      </c>
      <c r="H4" s="98" t="s">
        <v>108</v>
      </c>
      <c r="I4" s="98" t="s">
        <v>109</v>
      </c>
      <c r="J4" s="98" t="s">
        <v>110</v>
      </c>
      <c r="K4" s="98" t="s">
        <v>111</v>
      </c>
      <c r="L4" s="98" t="s">
        <v>112</v>
      </c>
      <c r="M4" s="98" t="s">
        <v>113</v>
      </c>
      <c r="N4" s="98" t="s">
        <v>114</v>
      </c>
      <c r="O4" s="98" t="s">
        <v>115</v>
      </c>
      <c r="P4" s="98" t="s">
        <v>116</v>
      </c>
    </row>
    <row r="5" spans="1:16">
      <c r="A5" s="118">
        <v>1</v>
      </c>
      <c r="B5" s="118">
        <f ca="1">YEAR(TODAY())</f>
        <v>2016</v>
      </c>
      <c r="C5" s="122">
        <v>25000</v>
      </c>
      <c r="D5" s="119" t="str">
        <f t="shared" ref="D5:D36" si="0">IF(ISERROR(SUM(E5:P5)/COUNT(E5:P5)),"",SUM(E5:P5)/COUNT(E5:P5))</f>
        <v/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>
      <c r="A6" s="98">
        <f t="shared" ref="A6:A54" si="1">IF(B6&lt;&gt;"",A5+1,"")</f>
        <v>2</v>
      </c>
      <c r="B6" s="98">
        <v>2016</v>
      </c>
      <c r="C6" s="121">
        <f t="shared" ref="C6:C54" si="2">IF(B6="","",C5*(1+$E$2))</f>
        <v>27500.000000000004</v>
      </c>
      <c r="D6" s="119" t="str">
        <f t="shared" si="0"/>
        <v/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>
      <c r="A7" s="98">
        <f t="shared" si="1"/>
        <v>3</v>
      </c>
      <c r="B7" s="98">
        <v>2017</v>
      </c>
      <c r="C7" s="121">
        <f t="shared" si="2"/>
        <v>30250.000000000007</v>
      </c>
      <c r="D7" s="119" t="str">
        <f t="shared" si="0"/>
        <v/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>
      <c r="A8" s="98">
        <f t="shared" si="1"/>
        <v>4</v>
      </c>
      <c r="B8" s="98">
        <v>2018</v>
      </c>
      <c r="C8" s="121">
        <f t="shared" si="2"/>
        <v>33275.000000000007</v>
      </c>
      <c r="D8" s="119" t="str">
        <f t="shared" si="0"/>
        <v/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>
      <c r="A9" s="98">
        <f t="shared" si="1"/>
        <v>5</v>
      </c>
      <c r="B9" s="98">
        <v>2019</v>
      </c>
      <c r="C9" s="121">
        <f t="shared" si="2"/>
        <v>36602.500000000015</v>
      </c>
      <c r="D9" s="119" t="str">
        <f t="shared" si="0"/>
        <v/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16">
      <c r="A10" s="98">
        <f t="shared" si="1"/>
        <v>6</v>
      </c>
      <c r="B10" s="98">
        <v>2020</v>
      </c>
      <c r="C10" s="121">
        <f t="shared" si="2"/>
        <v>40262.750000000022</v>
      </c>
      <c r="D10" s="119" t="str">
        <f t="shared" si="0"/>
        <v/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>
      <c r="A11" s="98">
        <f t="shared" si="1"/>
        <v>7</v>
      </c>
      <c r="B11" s="98">
        <v>2021</v>
      </c>
      <c r="C11" s="121">
        <f t="shared" si="2"/>
        <v>44289.025000000031</v>
      </c>
      <c r="D11" s="119" t="str">
        <f t="shared" si="0"/>
        <v/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</row>
    <row r="12" spans="1:16">
      <c r="A12" s="98">
        <f t="shared" si="1"/>
        <v>8</v>
      </c>
      <c r="B12" s="98">
        <v>2022</v>
      </c>
      <c r="C12" s="121">
        <f t="shared" si="2"/>
        <v>48717.927500000034</v>
      </c>
      <c r="D12" s="119" t="str">
        <f t="shared" si="0"/>
        <v/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1:16">
      <c r="A13" s="98">
        <f t="shared" si="1"/>
        <v>9</v>
      </c>
      <c r="B13" s="98">
        <v>2023</v>
      </c>
      <c r="C13" s="121">
        <f t="shared" si="2"/>
        <v>53589.720250000042</v>
      </c>
      <c r="D13" s="119" t="str">
        <f t="shared" si="0"/>
        <v/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</row>
    <row r="14" spans="1:16">
      <c r="A14" s="98">
        <f t="shared" si="1"/>
        <v>10</v>
      </c>
      <c r="B14" s="98">
        <v>2024</v>
      </c>
      <c r="C14" s="121">
        <f t="shared" si="2"/>
        <v>58948.692275000052</v>
      </c>
      <c r="D14" s="119" t="str">
        <f t="shared" si="0"/>
        <v/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6">
      <c r="A15" s="98">
        <f t="shared" si="1"/>
        <v>11</v>
      </c>
      <c r="B15" s="98">
        <v>2025</v>
      </c>
      <c r="C15" s="121">
        <f t="shared" si="2"/>
        <v>64843.561502500066</v>
      </c>
      <c r="D15" s="119" t="str">
        <f t="shared" si="0"/>
        <v/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>
      <c r="A16" s="98">
        <f t="shared" si="1"/>
        <v>12</v>
      </c>
      <c r="B16" s="98">
        <v>2026</v>
      </c>
      <c r="C16" s="121">
        <f t="shared" si="2"/>
        <v>71327.917652750082</v>
      </c>
      <c r="D16" s="119" t="str">
        <f t="shared" si="0"/>
        <v/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>
      <c r="A17" s="98">
        <f t="shared" si="1"/>
        <v>13</v>
      </c>
      <c r="B17" s="98">
        <v>2027</v>
      </c>
      <c r="C17" s="121">
        <f t="shared" si="2"/>
        <v>78460.709418025101</v>
      </c>
      <c r="D17" s="119" t="str">
        <f t="shared" si="0"/>
        <v/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>
      <c r="A18" s="98">
        <f t="shared" si="1"/>
        <v>14</v>
      </c>
      <c r="B18" s="98">
        <v>2028</v>
      </c>
      <c r="C18" s="121">
        <f t="shared" si="2"/>
        <v>86306.780359827622</v>
      </c>
      <c r="D18" s="119" t="str">
        <f t="shared" si="0"/>
        <v/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>
      <c r="A19" s="98">
        <f t="shared" si="1"/>
        <v>15</v>
      </c>
      <c r="B19" s="98">
        <v>2029</v>
      </c>
      <c r="C19" s="121">
        <f t="shared" si="2"/>
        <v>94937.45839581039</v>
      </c>
      <c r="D19" s="119" t="str">
        <f t="shared" si="0"/>
        <v/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>
      <c r="A20" s="98">
        <f t="shared" si="1"/>
        <v>16</v>
      </c>
      <c r="B20" s="98">
        <v>2030</v>
      </c>
      <c r="C20" s="121">
        <f t="shared" si="2"/>
        <v>104431.20423539144</v>
      </c>
      <c r="D20" s="119" t="str">
        <f t="shared" si="0"/>
        <v/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>
      <c r="A21" s="98">
        <f t="shared" si="1"/>
        <v>17</v>
      </c>
      <c r="B21" s="98">
        <v>2031</v>
      </c>
      <c r="C21" s="121">
        <f t="shared" si="2"/>
        <v>114874.32465893059</v>
      </c>
      <c r="D21" s="119" t="str">
        <f t="shared" si="0"/>
        <v/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>
      <c r="A22" s="98">
        <f t="shared" si="1"/>
        <v>18</v>
      </c>
      <c r="B22" s="98">
        <v>2032</v>
      </c>
      <c r="C22" s="121">
        <f t="shared" si="2"/>
        <v>126361.75712482366</v>
      </c>
      <c r="D22" s="119" t="str">
        <f t="shared" si="0"/>
        <v/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>
      <c r="A23" s="98">
        <f t="shared" si="1"/>
        <v>19</v>
      </c>
      <c r="B23" s="98">
        <v>2033</v>
      </c>
      <c r="C23" s="121">
        <f t="shared" si="2"/>
        <v>138997.93283730603</v>
      </c>
      <c r="D23" s="119" t="str">
        <f t="shared" si="0"/>
        <v/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>
      <c r="A24" s="98">
        <f t="shared" si="1"/>
        <v>20</v>
      </c>
      <c r="B24" s="98">
        <v>2034</v>
      </c>
      <c r="C24" s="121">
        <f t="shared" si="2"/>
        <v>152897.72612103666</v>
      </c>
      <c r="D24" s="119" t="str">
        <f t="shared" si="0"/>
        <v/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1:16">
      <c r="A25" s="98">
        <f t="shared" si="1"/>
        <v>21</v>
      </c>
      <c r="B25" s="98">
        <v>2035</v>
      </c>
      <c r="C25" s="121">
        <f t="shared" si="2"/>
        <v>168187.49873314032</v>
      </c>
      <c r="D25" s="119" t="str">
        <f t="shared" si="0"/>
        <v/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>
      <c r="A26" s="98">
        <f t="shared" si="1"/>
        <v>22</v>
      </c>
      <c r="B26" s="98">
        <v>2036</v>
      </c>
      <c r="C26" s="121">
        <f t="shared" si="2"/>
        <v>185006.24860645438</v>
      </c>
      <c r="D26" s="119" t="str">
        <f t="shared" si="0"/>
        <v/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>
      <c r="A27" s="98">
        <f t="shared" si="1"/>
        <v>23</v>
      </c>
      <c r="B27" s="98">
        <v>2037</v>
      </c>
      <c r="C27" s="121">
        <f t="shared" si="2"/>
        <v>203506.87346709982</v>
      </c>
      <c r="D27" s="119" t="str">
        <f t="shared" si="0"/>
        <v/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16">
      <c r="A28" s="98">
        <f t="shared" si="1"/>
        <v>24</v>
      </c>
      <c r="B28" s="98">
        <v>2038</v>
      </c>
      <c r="C28" s="121">
        <f t="shared" si="2"/>
        <v>223857.56081380983</v>
      </c>
      <c r="D28" s="119" t="str">
        <f t="shared" si="0"/>
        <v/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>
      <c r="A29" s="98">
        <f t="shared" si="1"/>
        <v>25</v>
      </c>
      <c r="B29" s="98">
        <v>2039</v>
      </c>
      <c r="C29" s="121">
        <f t="shared" si="2"/>
        <v>246243.31689519083</v>
      </c>
      <c r="D29" s="119" t="str">
        <f t="shared" si="0"/>
        <v/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1:16">
      <c r="A30" s="98" t="str">
        <f t="shared" si="1"/>
        <v/>
      </c>
      <c r="B30" s="98" t="s">
        <v>117</v>
      </c>
      <c r="C30" s="121" t="str">
        <f t="shared" si="2"/>
        <v/>
      </c>
      <c r="D30" s="119" t="str">
        <f t="shared" si="0"/>
        <v/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1:16">
      <c r="A31" s="98" t="str">
        <f t="shared" si="1"/>
        <v/>
      </c>
      <c r="B31" s="98" t="s">
        <v>117</v>
      </c>
      <c r="C31" s="121" t="str">
        <f t="shared" si="2"/>
        <v/>
      </c>
      <c r="D31" s="119" t="str">
        <f t="shared" si="0"/>
        <v/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1:16">
      <c r="A32" s="98" t="str">
        <f t="shared" si="1"/>
        <v/>
      </c>
      <c r="B32" s="98" t="s">
        <v>117</v>
      </c>
      <c r="C32" s="121" t="str">
        <f t="shared" si="2"/>
        <v/>
      </c>
      <c r="D32" s="119" t="str">
        <f t="shared" si="0"/>
        <v/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>
      <c r="A33" s="98" t="str">
        <f t="shared" si="1"/>
        <v/>
      </c>
      <c r="B33" s="98" t="s">
        <v>117</v>
      </c>
      <c r="C33" s="121" t="str">
        <f t="shared" si="2"/>
        <v/>
      </c>
      <c r="D33" s="119" t="str">
        <f t="shared" si="0"/>
        <v/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1:16">
      <c r="A34" s="98" t="str">
        <f t="shared" si="1"/>
        <v/>
      </c>
      <c r="B34" s="98" t="s">
        <v>117</v>
      </c>
      <c r="C34" s="121" t="str">
        <f t="shared" si="2"/>
        <v/>
      </c>
      <c r="D34" s="119" t="str">
        <f t="shared" si="0"/>
        <v/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1:16">
      <c r="A35" s="98" t="str">
        <f t="shared" si="1"/>
        <v/>
      </c>
      <c r="B35" s="98" t="s">
        <v>117</v>
      </c>
      <c r="C35" s="121" t="str">
        <f t="shared" si="2"/>
        <v/>
      </c>
      <c r="D35" s="119" t="str">
        <f t="shared" si="0"/>
        <v/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</row>
    <row r="36" spans="1:16">
      <c r="A36" s="98" t="str">
        <f t="shared" si="1"/>
        <v/>
      </c>
      <c r="B36" s="98" t="s">
        <v>117</v>
      </c>
      <c r="C36" s="121" t="str">
        <f t="shared" si="2"/>
        <v/>
      </c>
      <c r="D36" s="119" t="str">
        <f t="shared" si="0"/>
        <v/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>
      <c r="A37" s="98" t="str">
        <f t="shared" si="1"/>
        <v/>
      </c>
      <c r="B37" s="98" t="s">
        <v>117</v>
      </c>
      <c r="C37" s="121" t="str">
        <f t="shared" si="2"/>
        <v/>
      </c>
      <c r="D37" s="119" t="str">
        <f t="shared" ref="D37:D54" si="3">IF(ISERROR(SUM(E37:P37)/COUNT(E37:P37)),"",SUM(E37:P37)/COUNT(E37:P37))</f>
        <v/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>
      <c r="A38" s="98" t="str">
        <f t="shared" si="1"/>
        <v/>
      </c>
      <c r="B38" s="98" t="s">
        <v>117</v>
      </c>
      <c r="C38" s="121" t="str">
        <f t="shared" si="2"/>
        <v/>
      </c>
      <c r="D38" s="119" t="str">
        <f t="shared" si="3"/>
        <v/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1:16">
      <c r="A39" s="98" t="str">
        <f t="shared" si="1"/>
        <v/>
      </c>
      <c r="B39" s="98" t="s">
        <v>117</v>
      </c>
      <c r="C39" s="121" t="str">
        <f t="shared" si="2"/>
        <v/>
      </c>
      <c r="D39" s="119" t="str">
        <f t="shared" si="3"/>
        <v/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1:16">
      <c r="A40" s="98" t="str">
        <f t="shared" si="1"/>
        <v/>
      </c>
      <c r="B40" s="98" t="s">
        <v>117</v>
      </c>
      <c r="C40" s="121" t="str">
        <f t="shared" si="2"/>
        <v/>
      </c>
      <c r="D40" s="119" t="str">
        <f t="shared" si="3"/>
        <v/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1:16">
      <c r="A41" s="98" t="str">
        <f t="shared" si="1"/>
        <v/>
      </c>
      <c r="B41" s="98" t="s">
        <v>117</v>
      </c>
      <c r="C41" s="121" t="str">
        <f t="shared" si="2"/>
        <v/>
      </c>
      <c r="D41" s="119" t="str">
        <f t="shared" si="3"/>
        <v/>
      </c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16">
      <c r="A42" s="98" t="str">
        <f t="shared" si="1"/>
        <v/>
      </c>
      <c r="B42" s="98" t="s">
        <v>117</v>
      </c>
      <c r="C42" s="121" t="str">
        <f t="shared" si="2"/>
        <v/>
      </c>
      <c r="D42" s="119" t="str">
        <f t="shared" si="3"/>
        <v/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>
      <c r="A43" s="98" t="str">
        <f t="shared" si="1"/>
        <v/>
      </c>
      <c r="B43" s="98" t="s">
        <v>117</v>
      </c>
      <c r="C43" s="121" t="str">
        <f t="shared" si="2"/>
        <v/>
      </c>
      <c r="D43" s="119" t="str">
        <f t="shared" si="3"/>
        <v/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1:16">
      <c r="A44" s="98" t="str">
        <f t="shared" si="1"/>
        <v/>
      </c>
      <c r="B44" s="98" t="s">
        <v>117</v>
      </c>
      <c r="C44" s="121" t="str">
        <f t="shared" si="2"/>
        <v/>
      </c>
      <c r="D44" s="119" t="str">
        <f t="shared" si="3"/>
        <v/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</row>
    <row r="45" spans="1:16">
      <c r="A45" s="98" t="str">
        <f t="shared" si="1"/>
        <v/>
      </c>
      <c r="B45" s="98" t="s">
        <v>117</v>
      </c>
      <c r="C45" s="121" t="str">
        <f t="shared" si="2"/>
        <v/>
      </c>
      <c r="D45" s="119" t="str">
        <f t="shared" si="3"/>
        <v/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</row>
    <row r="46" spans="1:16">
      <c r="A46" s="98" t="str">
        <f t="shared" si="1"/>
        <v/>
      </c>
      <c r="B46" s="98" t="s">
        <v>117</v>
      </c>
      <c r="C46" s="121" t="str">
        <f t="shared" si="2"/>
        <v/>
      </c>
      <c r="D46" s="119" t="str">
        <f t="shared" si="3"/>
        <v/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  <row r="47" spans="1:16">
      <c r="A47" s="98" t="str">
        <f t="shared" si="1"/>
        <v/>
      </c>
      <c r="B47" s="98" t="s">
        <v>117</v>
      </c>
      <c r="C47" s="121" t="str">
        <f t="shared" si="2"/>
        <v/>
      </c>
      <c r="D47" s="119" t="str">
        <f t="shared" si="3"/>
        <v/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1:16">
      <c r="A48" s="98" t="str">
        <f t="shared" si="1"/>
        <v/>
      </c>
      <c r="B48" s="98" t="s">
        <v>117</v>
      </c>
      <c r="C48" s="121" t="str">
        <f t="shared" si="2"/>
        <v/>
      </c>
      <c r="D48" s="119" t="str">
        <f t="shared" si="3"/>
        <v/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16">
      <c r="A49" s="98" t="str">
        <f t="shared" si="1"/>
        <v/>
      </c>
      <c r="B49" s="98" t="s">
        <v>117</v>
      </c>
      <c r="C49" s="121" t="str">
        <f t="shared" si="2"/>
        <v/>
      </c>
      <c r="D49" s="119" t="str">
        <f t="shared" si="3"/>
        <v/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6">
      <c r="A50" s="98" t="str">
        <f t="shared" si="1"/>
        <v/>
      </c>
      <c r="B50" s="98" t="s">
        <v>117</v>
      </c>
      <c r="C50" s="121" t="str">
        <f t="shared" si="2"/>
        <v/>
      </c>
      <c r="D50" s="119" t="str">
        <f t="shared" si="3"/>
        <v/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6">
      <c r="A51" s="98" t="str">
        <f t="shared" si="1"/>
        <v/>
      </c>
      <c r="B51" s="98" t="s">
        <v>117</v>
      </c>
      <c r="C51" s="121" t="str">
        <f t="shared" si="2"/>
        <v/>
      </c>
      <c r="D51" s="119" t="str">
        <f t="shared" si="3"/>
        <v/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1:16">
      <c r="A52" s="98" t="str">
        <f t="shared" si="1"/>
        <v/>
      </c>
      <c r="B52" s="98" t="s">
        <v>117</v>
      </c>
      <c r="C52" s="121" t="str">
        <f t="shared" si="2"/>
        <v/>
      </c>
      <c r="D52" s="119" t="str">
        <f t="shared" si="3"/>
        <v/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</row>
    <row r="53" spans="1:16">
      <c r="A53" s="98" t="str">
        <f t="shared" si="1"/>
        <v/>
      </c>
      <c r="B53" s="98" t="s">
        <v>117</v>
      </c>
      <c r="C53" s="121" t="str">
        <f t="shared" si="2"/>
        <v/>
      </c>
      <c r="D53" s="119" t="str">
        <f t="shared" si="3"/>
        <v/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54" spans="1:16">
      <c r="A54" s="98" t="str">
        <f t="shared" si="1"/>
        <v/>
      </c>
      <c r="B54" s="98" t="s">
        <v>117</v>
      </c>
      <c r="C54" s="121" t="str">
        <f t="shared" si="2"/>
        <v/>
      </c>
      <c r="D54" s="119" t="str">
        <f t="shared" si="3"/>
        <v/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</sheetData>
  <mergeCells count="4">
    <mergeCell ref="A1:O1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Retirement</vt:lpstr>
      <vt:lpstr>Other goals</vt:lpstr>
      <vt:lpstr>summary</vt:lpstr>
      <vt:lpstr>cashflow</vt:lpstr>
      <vt:lpstr>Graphs</vt:lpstr>
      <vt:lpstr>retirement-cashflow</vt:lpstr>
      <vt:lpstr>Keep short-term goals separate</vt:lpstr>
      <vt:lpstr>Investment tracker</vt:lpstr>
      <vt:lpstr>'Other goals'!curr1</vt:lpstr>
      <vt:lpstr>goal1</vt:lpstr>
      <vt:lpstr>goal2</vt:lpstr>
      <vt:lpstr>goal3</vt:lpstr>
      <vt:lpstr>goal4</vt:lpstr>
      <vt:lpstr>goal5</vt:lpstr>
      <vt:lpstr>increment</vt:lpstr>
      <vt:lpstr>interest</vt:lpstr>
      <vt:lpstr>invest</vt:lpstr>
      <vt:lpstr>loansip1</vt:lpstr>
      <vt:lpstr>loansip2</vt:lpstr>
      <vt:lpstr>loany1</vt:lpstr>
      <vt:lpstr>loany2</vt:lpstr>
      <vt:lpstr>ygoal1</vt:lpstr>
      <vt:lpstr>ygoal2</vt:lpstr>
      <vt:lpstr>ygoal3</vt:lpstr>
      <vt:lpstr>ygoal4</vt:lpstr>
      <vt:lpstr>ygoal5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pattabiraman</cp:lastModifiedBy>
  <dcterms:created xsi:type="dcterms:W3CDTF">2015-05-21T17:16:52Z</dcterms:created>
  <dcterms:modified xsi:type="dcterms:W3CDTF">2016-04-23T18:33:28Z</dcterms:modified>
</cp:coreProperties>
</file>