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96" yWindow="132" windowWidth="16212" windowHeight="5808" tabRatio="923" firstSheet="1" activeTab="1"/>
  </bookViews>
  <sheets>
    <sheet name="Read me first" sheetId="11" r:id="rId1"/>
    <sheet name="Rebalancing Illustration" sheetId="7" r:id="rId2"/>
    <sheet name="Annual Rebalancing Lumpsum" sheetId="6" r:id="rId3"/>
    <sheet name="Annual Rebalancing SIP" sheetId="8" r:id="rId4"/>
    <sheet name="Variable frequency Rebal. SIP" sheetId="12" r:id="rId5"/>
    <sheet name="One-way Rebalancing SIP " sheetId="14" r:id="rId6"/>
    <sheet name="Threshold Rebalancing SIP" sheetId="13" r:id="rId7"/>
    <sheet name="Annual Rebalancing Retirement" sheetId="10" r:id="rId8"/>
    <sheet name="Sample Data and analysis" sheetId="9" r:id="rId9"/>
  </sheets>
  <definedNames>
    <definedName name="amount1" localSheetId="2">#REF!</definedName>
    <definedName name="amount1" localSheetId="7">#REF!</definedName>
    <definedName name="amount1" localSheetId="3">#REF!</definedName>
    <definedName name="amount1" localSheetId="5">#REF!</definedName>
    <definedName name="amount1" localSheetId="6">#REF!</definedName>
    <definedName name="amount1" localSheetId="4">#REF!</definedName>
    <definedName name="amount1">#REF!</definedName>
    <definedName name="amount10" localSheetId="2">#REF!</definedName>
    <definedName name="amount10" localSheetId="7">#REF!</definedName>
    <definedName name="amount10" localSheetId="3">#REF!</definedName>
    <definedName name="amount10" localSheetId="5">#REF!</definedName>
    <definedName name="amount10" localSheetId="6">#REF!</definedName>
    <definedName name="amount10" localSheetId="4">#REF!</definedName>
    <definedName name="amount10">#REF!</definedName>
    <definedName name="amount11" localSheetId="2">#REF!</definedName>
    <definedName name="amount11" localSheetId="7">#REF!</definedName>
    <definedName name="amount11" localSheetId="3">#REF!</definedName>
    <definedName name="amount11" localSheetId="5">#REF!</definedName>
    <definedName name="amount11" localSheetId="6">#REF!</definedName>
    <definedName name="amount11" localSheetId="4">#REF!</definedName>
    <definedName name="amount11">#REF!</definedName>
    <definedName name="amount2" localSheetId="2">#REF!</definedName>
    <definedName name="amount2" localSheetId="7">#REF!</definedName>
    <definedName name="amount2" localSheetId="3">#REF!</definedName>
    <definedName name="amount2" localSheetId="5">#REF!</definedName>
    <definedName name="amount2" localSheetId="6">#REF!</definedName>
    <definedName name="amount2" localSheetId="4">#REF!</definedName>
    <definedName name="amount2">#REF!</definedName>
    <definedName name="amount3" localSheetId="2">#REF!</definedName>
    <definedName name="amount3" localSheetId="7">#REF!</definedName>
    <definedName name="amount3" localSheetId="3">#REF!</definedName>
    <definedName name="amount3" localSheetId="5">#REF!</definedName>
    <definedName name="amount3" localSheetId="6">#REF!</definedName>
    <definedName name="amount3" localSheetId="4">#REF!</definedName>
    <definedName name="amount3">#REF!</definedName>
    <definedName name="amount4" localSheetId="2">#REF!</definedName>
    <definedName name="amount4" localSheetId="7">#REF!</definedName>
    <definedName name="amount4" localSheetId="3">#REF!</definedName>
    <definedName name="amount4" localSheetId="5">#REF!</definedName>
    <definedName name="amount4" localSheetId="6">#REF!</definedName>
    <definedName name="amount4" localSheetId="4">#REF!</definedName>
    <definedName name="amount4">#REF!</definedName>
    <definedName name="amount5" localSheetId="2">#REF!</definedName>
    <definedName name="amount5" localSheetId="7">#REF!</definedName>
    <definedName name="amount5" localSheetId="3">#REF!</definedName>
    <definedName name="amount5" localSheetId="5">#REF!</definedName>
    <definedName name="amount5" localSheetId="6">#REF!</definedName>
    <definedName name="amount5" localSheetId="4">#REF!</definedName>
    <definedName name="amount5">#REF!</definedName>
    <definedName name="amount6" localSheetId="2">#REF!</definedName>
    <definedName name="amount6" localSheetId="7">#REF!</definedName>
    <definedName name="amount6" localSheetId="3">#REF!</definedName>
    <definedName name="amount6" localSheetId="5">#REF!</definedName>
    <definedName name="amount6" localSheetId="6">#REF!</definedName>
    <definedName name="amount6" localSheetId="4">#REF!</definedName>
    <definedName name="amount6">#REF!</definedName>
    <definedName name="amount7" localSheetId="2">#REF!</definedName>
    <definedName name="amount7" localSheetId="7">#REF!</definedName>
    <definedName name="amount7" localSheetId="3">#REF!</definedName>
    <definedName name="amount7" localSheetId="5">#REF!</definedName>
    <definedName name="amount7" localSheetId="6">#REF!</definedName>
    <definedName name="amount7" localSheetId="4">#REF!</definedName>
    <definedName name="amount7">#REF!</definedName>
    <definedName name="amount8" localSheetId="2">#REF!</definedName>
    <definedName name="amount8" localSheetId="7">#REF!</definedName>
    <definedName name="amount8" localSheetId="3">#REF!</definedName>
    <definedName name="amount8" localSheetId="5">#REF!</definedName>
    <definedName name="amount8" localSheetId="6">#REF!</definedName>
    <definedName name="amount8" localSheetId="4">#REF!</definedName>
    <definedName name="amount8">#REF!</definedName>
    <definedName name="amount9" localSheetId="2">#REF!</definedName>
    <definedName name="amount9" localSheetId="7">#REF!</definedName>
    <definedName name="amount9" localSheetId="3">#REF!</definedName>
    <definedName name="amount9" localSheetId="5">#REF!</definedName>
    <definedName name="amount9" localSheetId="6">#REF!</definedName>
    <definedName name="amount9" localSheetId="4">#REF!</definedName>
    <definedName name="amount9">#REF!</definedName>
    <definedName name="bondper" localSheetId="2">'Annual Rebalancing Lumpsum'!$D$9</definedName>
    <definedName name="bondper" localSheetId="7">'Annual Rebalancing Retirement'!$D$7</definedName>
    <definedName name="bondper" localSheetId="3">'Annual Rebalancing SIP'!$D$9</definedName>
    <definedName name="bondper" localSheetId="5">'One-way Rebalancing SIP '!$D$8</definedName>
    <definedName name="bondper" localSheetId="6">'Threshold Rebalancing SIP'!$D$8</definedName>
    <definedName name="bondper" localSheetId="4">'Variable frequency Rebal. SIP'!$D$10</definedName>
    <definedName name="bondper">#REF!</definedName>
    <definedName name="cont" localSheetId="2">#REF!</definedName>
    <definedName name="cont" localSheetId="7">#REF!</definedName>
    <definedName name="cont" localSheetId="3">#REF!</definedName>
    <definedName name="cont" localSheetId="5">#REF!</definedName>
    <definedName name="cont" localSheetId="6">#REF!</definedName>
    <definedName name="cont" localSheetId="4">#REF!</definedName>
    <definedName name="cont">#REF!</definedName>
    <definedName name="cont1" localSheetId="2">'Annual Rebalancing Lumpsum'!$D$6</definedName>
    <definedName name="cont1" localSheetId="7">'Annual Rebalancing Retirement'!$D$5</definedName>
    <definedName name="cont1" localSheetId="3">'Annual Rebalancing SIP'!$D$6</definedName>
    <definedName name="cont1" localSheetId="5">'One-way Rebalancing SIP '!$D$5</definedName>
    <definedName name="cont1" localSheetId="6">'Threshold Rebalancing SIP'!$D$5</definedName>
    <definedName name="cont1" localSheetId="4">'Variable frequency Rebal. SIP'!$D$5</definedName>
    <definedName name="cont1">#REF!</definedName>
    <definedName name="corp1">'Annual Rebalancing Retirement'!$D$14</definedName>
    <definedName name="corp2">'Annual Rebalancing Retirement'!$D$15</definedName>
    <definedName name="eqper" localSheetId="2">'Annual Rebalancing Lumpsum'!$B$9</definedName>
    <definedName name="eqper" localSheetId="7">'Annual Rebalancing Retirement'!$B$7</definedName>
    <definedName name="eqper" localSheetId="3">'Annual Rebalancing SIP'!$B$9</definedName>
    <definedName name="eqper" localSheetId="5">'One-way Rebalancing SIP '!$B$8</definedName>
    <definedName name="eqper" localSheetId="6">'Threshold Rebalancing SIP'!$B$8</definedName>
    <definedName name="eqper" localSheetId="4">'Variable frequency Rebal. SIP'!$B$10</definedName>
    <definedName name="eqper">#REF!</definedName>
    <definedName name="eqper1">'Annual Rebalancing Lumpsum'!$B$9</definedName>
    <definedName name="exp">'Annual Rebalancing Retirement'!$D$11</definedName>
    <definedName name="freq" localSheetId="5">'One-way Rebalancing SIP '!$AX$1</definedName>
    <definedName name="freq" localSheetId="6">'Threshold Rebalancing SIP'!$AX$1</definedName>
    <definedName name="freq">'Variable frequency Rebal. SIP'!$C$8</definedName>
    <definedName name="inc" localSheetId="2">#REF!</definedName>
    <definedName name="inc" localSheetId="7">#REF!</definedName>
    <definedName name="inc" localSheetId="3">#REF!</definedName>
    <definedName name="inc" localSheetId="5">#REF!</definedName>
    <definedName name="inc" localSheetId="6">#REF!</definedName>
    <definedName name="inc" localSheetId="4">#REF!</definedName>
    <definedName name="inc">#REF!</definedName>
    <definedName name="inca" localSheetId="2">'Annual Rebalancing Lumpsum'!$D$7</definedName>
    <definedName name="inca" localSheetId="7">'Annual Rebalancing Retirement'!$D$6</definedName>
    <definedName name="inca" localSheetId="3">'Annual Rebalancing SIP'!$D$7</definedName>
    <definedName name="inca" localSheetId="5">'One-way Rebalancing SIP '!$D$6</definedName>
    <definedName name="inca" localSheetId="6">'Threshold Rebalancing SIP'!$D$6</definedName>
    <definedName name="inca" localSheetId="4">'Variable frequency Rebal. SIP'!$D$6</definedName>
    <definedName name="inca">#REF!</definedName>
    <definedName name="inf">'Annual Rebalancing Retirement'!$D$9</definedName>
    <definedName name="inta" localSheetId="2">'Annual Rebalancing Lumpsum'!#REF!</definedName>
    <definedName name="inta" localSheetId="7">'Annual Rebalancing Retirement'!#REF!</definedName>
    <definedName name="inta" localSheetId="3">'Annual Rebalancing SIP'!#REF!</definedName>
    <definedName name="inta" localSheetId="5">'One-way Rebalancing SIP '!#REF!</definedName>
    <definedName name="inta" localSheetId="6">'Threshold Rebalancing SIP'!#REF!</definedName>
    <definedName name="inta" localSheetId="4">'Variable frequency Rebal. SIP'!#REF!</definedName>
    <definedName name="inta">#REF!</definedName>
    <definedName name="inter1" localSheetId="2">#REF!</definedName>
    <definedName name="inter1" localSheetId="7">#REF!</definedName>
    <definedName name="inter1" localSheetId="3">#REF!</definedName>
    <definedName name="inter1" localSheetId="5">#REF!</definedName>
    <definedName name="inter1" localSheetId="6">#REF!</definedName>
    <definedName name="inter1" localSheetId="4">#REF!</definedName>
    <definedName name="inter1">#REF!</definedName>
    <definedName name="inter10" localSheetId="2">#REF!</definedName>
    <definedName name="inter10" localSheetId="7">#REF!</definedName>
    <definedName name="inter10" localSheetId="3">#REF!</definedName>
    <definedName name="inter10" localSheetId="5">#REF!</definedName>
    <definedName name="inter10" localSheetId="6">#REF!</definedName>
    <definedName name="inter10" localSheetId="4">#REF!</definedName>
    <definedName name="inter10">#REF!</definedName>
    <definedName name="inter2" localSheetId="2">#REF!</definedName>
    <definedName name="inter2" localSheetId="7">#REF!</definedName>
    <definedName name="inter2" localSheetId="3">#REF!</definedName>
    <definedName name="inter2" localSheetId="5">#REF!</definedName>
    <definedName name="inter2" localSheetId="6">#REF!</definedName>
    <definedName name="inter2" localSheetId="4">#REF!</definedName>
    <definedName name="inter2">#REF!</definedName>
    <definedName name="inter3" localSheetId="2">#REF!</definedName>
    <definedName name="inter3" localSheetId="7">#REF!</definedName>
    <definedName name="inter3" localSheetId="3">#REF!</definedName>
    <definedName name="inter3" localSheetId="5">#REF!</definedName>
    <definedName name="inter3" localSheetId="6">#REF!</definedName>
    <definedName name="inter3" localSheetId="4">#REF!</definedName>
    <definedName name="inter3">#REF!</definedName>
    <definedName name="inter4" localSheetId="2">#REF!</definedName>
    <definedName name="inter4" localSheetId="7">#REF!</definedName>
    <definedName name="inter4" localSheetId="3">#REF!</definedName>
    <definedName name="inter4" localSheetId="5">#REF!</definedName>
    <definedName name="inter4" localSheetId="6">#REF!</definedName>
    <definedName name="inter4" localSheetId="4">#REF!</definedName>
    <definedName name="inter4">#REF!</definedName>
    <definedName name="inter5" localSheetId="2">#REF!</definedName>
    <definedName name="inter5" localSheetId="7">#REF!</definedName>
    <definedName name="inter5" localSheetId="3">#REF!</definedName>
    <definedName name="inter5" localSheetId="5">#REF!</definedName>
    <definedName name="inter5" localSheetId="6">#REF!</definedName>
    <definedName name="inter5" localSheetId="4">#REF!</definedName>
    <definedName name="inter5">#REF!</definedName>
    <definedName name="inter6" localSheetId="2">#REF!</definedName>
    <definedName name="inter6" localSheetId="7">#REF!</definedName>
    <definedName name="inter6" localSheetId="3">#REF!</definedName>
    <definedName name="inter6" localSheetId="5">#REF!</definedName>
    <definedName name="inter6" localSheetId="6">#REF!</definedName>
    <definedName name="inter6" localSheetId="4">#REF!</definedName>
    <definedName name="inter6">#REF!</definedName>
    <definedName name="inter7" localSheetId="2">#REF!</definedName>
    <definedName name="inter7" localSheetId="7">#REF!</definedName>
    <definedName name="inter7" localSheetId="3">#REF!</definedName>
    <definedName name="inter7" localSheetId="5">#REF!</definedName>
    <definedName name="inter7" localSheetId="6">#REF!</definedName>
    <definedName name="inter7" localSheetId="4">#REF!</definedName>
    <definedName name="inter7">#REF!</definedName>
    <definedName name="inter8" localSheetId="2">#REF!</definedName>
    <definedName name="inter8" localSheetId="7">#REF!</definedName>
    <definedName name="inter8" localSheetId="3">#REF!</definedName>
    <definedName name="inter8" localSheetId="5">#REF!</definedName>
    <definedName name="inter8" localSheetId="6">#REF!</definedName>
    <definedName name="inter8" localSheetId="4">#REF!</definedName>
    <definedName name="inter8">#REF!</definedName>
    <definedName name="inter9" localSheetId="2">#REF!</definedName>
    <definedName name="inter9" localSheetId="7">#REF!</definedName>
    <definedName name="inter9" localSheetId="3">#REF!</definedName>
    <definedName name="inter9" localSheetId="5">#REF!</definedName>
    <definedName name="inter9" localSheetId="6">#REF!</definedName>
    <definedName name="inter9" localSheetId="4">#REF!</definedName>
    <definedName name="inter9">#REF!</definedName>
    <definedName name="MINPER" localSheetId="2">'Annual Rebalancing Lumpsum'!#REF!</definedName>
    <definedName name="MINPER" localSheetId="7">'Annual Rebalancing Retirement'!#REF!</definedName>
    <definedName name="MINPER" localSheetId="3">'Annual Rebalancing SIP'!#REF!</definedName>
    <definedName name="MINPER" localSheetId="5">'One-way Rebalancing SIP '!#REF!</definedName>
    <definedName name="MINPER" localSheetId="6">'Threshold Rebalancing SIP'!#REF!</definedName>
    <definedName name="MINPER" localSheetId="4">'Variable frequency Rebal. SIP'!#REF!</definedName>
    <definedName name="months" localSheetId="2">'Annual Rebalancing Lumpsum'!#REF!</definedName>
    <definedName name="months" localSheetId="7">'Annual Rebalancing Retirement'!#REF!</definedName>
    <definedName name="months" localSheetId="3">'Annual Rebalancing SIP'!#REF!</definedName>
    <definedName name="months" localSheetId="5">'One-way Rebalancing SIP '!#REF!</definedName>
    <definedName name="months" localSheetId="6">'Threshold Rebalancing SIP'!#REF!</definedName>
    <definedName name="months" localSheetId="4">'Variable frequency Rebal. SIP'!#REF!</definedName>
    <definedName name="months">#REF!</definedName>
    <definedName name="oneway">'One-way Rebalancing SIP '!$E$10</definedName>
    <definedName name="presval" localSheetId="2">'Annual Rebalancing Lumpsum'!#REF!</definedName>
    <definedName name="presval" localSheetId="7">'Annual Rebalancing Retirement'!#REF!</definedName>
    <definedName name="presval" localSheetId="3">'Annual Rebalancing SIP'!#REF!</definedName>
    <definedName name="presval" localSheetId="5">'One-way Rebalancing SIP '!#REF!</definedName>
    <definedName name="presval" localSheetId="6">'Threshold Rebalancing SIP'!#REF!</definedName>
    <definedName name="presval" localSheetId="4">'Variable frequency Rebal. SIP'!#REF!</definedName>
    <definedName name="rate">'Annual Rebalancing Retirement'!$D$10</definedName>
    <definedName name="SIP" localSheetId="2">'Annual Rebalancing Lumpsum'!#REF!</definedName>
    <definedName name="SIP" localSheetId="7">'Annual Rebalancing Retirement'!#REF!</definedName>
    <definedName name="SIP" localSheetId="3">'Annual Rebalancing SIP'!#REF!</definedName>
    <definedName name="SIP" localSheetId="5">'One-way Rebalancing SIP '!#REF!</definedName>
    <definedName name="SIP" localSheetId="6">'Threshold Rebalancing SIP'!#REF!</definedName>
    <definedName name="SIP" localSheetId="4">'Variable frequency Rebal. SIP'!#REF!</definedName>
    <definedName name="start" localSheetId="2">'Annual Rebalancing Lumpsum'!$C$4</definedName>
    <definedName name="start" localSheetId="7">'Annual Rebalancing Retirement'!$C$4</definedName>
    <definedName name="start" localSheetId="3">'Annual Rebalancing SIP'!$C$4</definedName>
    <definedName name="start" localSheetId="5">'One-way Rebalancing SIP '!$C$4</definedName>
    <definedName name="start" localSheetId="6">'Threshold Rebalancing SIP'!$C$4</definedName>
    <definedName name="start" localSheetId="4">'Variable frequency Rebal. SIP'!$C$4</definedName>
    <definedName name="start">#REF!</definedName>
    <definedName name="thres" localSheetId="5">'One-way Rebalancing SIP '!$AX$2</definedName>
    <definedName name="thres">'Threshold Rebalancing SIP'!$C$10</definedName>
    <definedName name="time" localSheetId="2">#REF!</definedName>
    <definedName name="time" localSheetId="7">#REF!</definedName>
    <definedName name="time" localSheetId="3">#REF!</definedName>
    <definedName name="time" localSheetId="5">#REF!</definedName>
    <definedName name="time" localSheetId="6">#REF!</definedName>
    <definedName name="time" localSheetId="4">#REF!</definedName>
    <definedName name="time">#REF!</definedName>
    <definedName name="time1" localSheetId="2">'Annual Rebalancing Lumpsum'!$D$2</definedName>
    <definedName name="time1" localSheetId="7">'Annual Rebalancing Retirement'!$D$2</definedName>
    <definedName name="time1" localSheetId="3">'Annual Rebalancing SIP'!$D$2</definedName>
    <definedName name="time1" localSheetId="5">'One-way Rebalancing SIP '!$D$2</definedName>
    <definedName name="time1" localSheetId="6">'Threshold Rebalancing SIP'!$D$2</definedName>
    <definedName name="time1" localSheetId="4">'Variable frequency Rebal. SIP'!$D$2</definedName>
    <definedName name="time1">#REF!</definedName>
    <definedName name="year1" localSheetId="2">#REF!</definedName>
    <definedName name="year1" localSheetId="7">#REF!</definedName>
    <definedName name="year1" localSheetId="3">#REF!</definedName>
    <definedName name="year1" localSheetId="5">#REF!</definedName>
    <definedName name="year1" localSheetId="6">#REF!</definedName>
    <definedName name="year1" localSheetId="4">#REF!</definedName>
    <definedName name="year1">#REF!</definedName>
    <definedName name="year10" localSheetId="2">#REF!</definedName>
    <definedName name="year10" localSheetId="7">#REF!</definedName>
    <definedName name="year10" localSheetId="3">#REF!</definedName>
    <definedName name="year10" localSheetId="5">#REF!</definedName>
    <definedName name="year10" localSheetId="6">#REF!</definedName>
    <definedName name="year10" localSheetId="4">#REF!</definedName>
    <definedName name="year10">#REF!</definedName>
    <definedName name="year11" localSheetId="2">#REF!</definedName>
    <definedName name="year11" localSheetId="7">#REF!</definedName>
    <definedName name="year11" localSheetId="3">#REF!</definedName>
    <definedName name="year11" localSheetId="5">#REF!</definedName>
    <definedName name="year11" localSheetId="6">#REF!</definedName>
    <definedName name="year11" localSheetId="4">#REF!</definedName>
    <definedName name="year11">#REF!</definedName>
    <definedName name="year2" localSheetId="2">#REF!</definedName>
    <definedName name="year2" localSheetId="7">#REF!</definedName>
    <definedName name="year2" localSheetId="3">#REF!</definedName>
    <definedName name="year2" localSheetId="5">#REF!</definedName>
    <definedName name="year2" localSheetId="6">#REF!</definedName>
    <definedName name="year2" localSheetId="4">#REF!</definedName>
    <definedName name="year2">#REF!</definedName>
    <definedName name="year3" localSheetId="2">#REF!</definedName>
    <definedName name="year3" localSheetId="7">#REF!</definedName>
    <definedName name="year3" localSheetId="3">#REF!</definedName>
    <definedName name="year3" localSheetId="5">#REF!</definedName>
    <definedName name="year3" localSheetId="6">#REF!</definedName>
    <definedName name="year3" localSheetId="4">#REF!</definedName>
    <definedName name="year3">#REF!</definedName>
    <definedName name="year4" localSheetId="2">#REF!</definedName>
    <definedName name="year4" localSheetId="7">#REF!</definedName>
    <definedName name="year4" localSheetId="3">#REF!</definedName>
    <definedName name="year4" localSheetId="5">#REF!</definedName>
    <definedName name="year4" localSheetId="6">#REF!</definedName>
    <definedName name="year4" localSheetId="4">#REF!</definedName>
    <definedName name="year4">#REF!</definedName>
    <definedName name="year5" localSheetId="2">#REF!</definedName>
    <definedName name="year5" localSheetId="7">#REF!</definedName>
    <definedName name="year5" localSheetId="3">#REF!</definedName>
    <definedName name="year5" localSheetId="5">#REF!</definedName>
    <definedName name="year5" localSheetId="6">#REF!</definedName>
    <definedName name="year5" localSheetId="4">#REF!</definedName>
    <definedName name="year5">#REF!</definedName>
    <definedName name="year6" localSheetId="2">#REF!</definedName>
    <definedName name="year6" localSheetId="7">#REF!</definedName>
    <definedName name="year6" localSheetId="3">#REF!</definedName>
    <definedName name="year6" localSheetId="5">#REF!</definedName>
    <definedName name="year6" localSheetId="6">#REF!</definedName>
    <definedName name="year6" localSheetId="4">#REF!</definedName>
    <definedName name="year6">#REF!</definedName>
    <definedName name="year7" localSheetId="2">#REF!</definedName>
    <definedName name="year7" localSheetId="7">#REF!</definedName>
    <definedName name="year7" localSheetId="3">#REF!</definedName>
    <definedName name="year7" localSheetId="5">#REF!</definedName>
    <definedName name="year7" localSheetId="6">#REF!</definedName>
    <definedName name="year7" localSheetId="4">#REF!</definedName>
    <definedName name="year7">#REF!</definedName>
    <definedName name="year8" localSheetId="2">#REF!</definedName>
    <definedName name="year8" localSheetId="7">#REF!</definedName>
    <definedName name="year8" localSheetId="3">#REF!</definedName>
    <definedName name="year8" localSheetId="5">#REF!</definedName>
    <definedName name="year8" localSheetId="6">#REF!</definedName>
    <definedName name="year8" localSheetId="4">#REF!</definedName>
    <definedName name="year8">#REF!</definedName>
    <definedName name="year9" localSheetId="2">#REF!</definedName>
    <definedName name="year9" localSheetId="7">#REF!</definedName>
    <definedName name="year9" localSheetId="3">#REF!</definedName>
    <definedName name="year9" localSheetId="5">#REF!</definedName>
    <definedName name="year9" localSheetId="6">#REF!</definedName>
    <definedName name="year9" localSheetId="4">#REF!</definedName>
    <definedName name="year9">#REF!</definedName>
  </definedNames>
  <calcPr calcId="124519"/>
</workbook>
</file>

<file path=xl/calcChain.xml><?xml version="1.0" encoding="utf-8"?>
<calcChain xmlns="http://schemas.openxmlformats.org/spreadsheetml/2006/main">
  <c r="P27" i="12"/>
  <c r="P28" s="1"/>
  <c r="P29" s="1"/>
  <c r="P30" s="1"/>
  <c r="P31" s="1"/>
  <c r="P32" s="1"/>
  <c r="P33" s="1"/>
  <c r="P34" s="1"/>
  <c r="P35" s="1"/>
  <c r="P36" s="1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AE6" i="10"/>
  <c r="AE7" s="1"/>
  <c r="AE8" s="1"/>
  <c r="AE9" s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5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5"/>
  <c r="AH27" i="12"/>
  <c r="AH28" s="1"/>
  <c r="AH29" s="1"/>
  <c r="AH30" s="1"/>
  <c r="AH31" s="1"/>
  <c r="AH32" s="1"/>
  <c r="AH33" s="1"/>
  <c r="AH34" s="1"/>
  <c r="AH35" s="1"/>
  <c r="AH36" s="1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P36" i="8"/>
  <c r="P35"/>
  <c r="P34"/>
  <c r="P33"/>
  <c r="P32"/>
  <c r="P31"/>
  <c r="P30"/>
  <c r="P29"/>
  <c r="P28"/>
  <c r="P27"/>
  <c r="P26"/>
  <c r="P25"/>
  <c r="P24"/>
  <c r="P23"/>
  <c r="P22"/>
  <c r="P21"/>
  <c r="P20"/>
  <c r="P5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5"/>
  <c r="AG6" s="1"/>
  <c r="AG7" s="1"/>
  <c r="AG8" s="1"/>
  <c r="AG9" s="1"/>
  <c r="AG10" s="1"/>
  <c r="AG11" s="1"/>
  <c r="AG12" s="1"/>
  <c r="AG13" s="1"/>
  <c r="AG14" s="1"/>
  <c r="AG15" s="1"/>
  <c r="AG16" s="1"/>
  <c r="AG17" s="1"/>
  <c r="AG18" s="1"/>
  <c r="AG19" s="1"/>
  <c r="E17"/>
  <c r="D23" i="13"/>
  <c r="A22"/>
  <c r="D23" i="14"/>
  <c r="C22"/>
  <c r="A22"/>
  <c r="D31" i="10"/>
  <c r="C30"/>
  <c r="D23" i="6"/>
  <c r="A22"/>
  <c r="D23" i="8"/>
  <c r="A22"/>
  <c r="A28" i="10"/>
  <c r="D23" i="12"/>
  <c r="A22"/>
  <c r="O11" i="7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N21"/>
  <c r="N20"/>
  <c r="N19"/>
  <c r="N18"/>
  <c r="N17"/>
  <c r="D8" i="14"/>
  <c r="Y6"/>
  <c r="H6"/>
  <c r="Z5"/>
  <c r="Z6" s="1"/>
  <c r="I5"/>
  <c r="I6" s="1"/>
  <c r="AW3"/>
  <c r="AW4" s="1"/>
  <c r="AW5" s="1"/>
  <c r="AW6" s="1"/>
  <c r="AW7" s="1"/>
  <c r="AW8" s="1"/>
  <c r="AW9" s="1"/>
  <c r="AW10" s="1"/>
  <c r="AW11" s="1"/>
  <c r="AW12" s="1"/>
  <c r="AW13" s="1"/>
  <c r="AW14" s="1"/>
  <c r="AW15" s="1"/>
  <c r="AW16" s="1"/>
  <c r="AW17" s="1"/>
  <c r="F3"/>
  <c r="D8" i="13"/>
  <c r="Y6"/>
  <c r="H6"/>
  <c r="Z5"/>
  <c r="Z6" s="1"/>
  <c r="I5"/>
  <c r="I6" s="1"/>
  <c r="AW3"/>
  <c r="AW4" s="1"/>
  <c r="AW5" s="1"/>
  <c r="AW6" s="1"/>
  <c r="AW7" s="1"/>
  <c r="AW8" s="1"/>
  <c r="AW9" s="1"/>
  <c r="AW10" s="1"/>
  <c r="AW11" s="1"/>
  <c r="AW12" s="1"/>
  <c r="AW13" s="1"/>
  <c r="AW14" s="1"/>
  <c r="AW15" s="1"/>
  <c r="AW16" s="1"/>
  <c r="AW17" s="1"/>
  <c r="F3"/>
  <c r="C22" s="1"/>
  <c r="AW3" i="12"/>
  <c r="AW4" s="1"/>
  <c r="AW5" s="1"/>
  <c r="AW6" s="1"/>
  <c r="AW7" s="1"/>
  <c r="AW8" s="1"/>
  <c r="AW9" s="1"/>
  <c r="AW10" s="1"/>
  <c r="AW11" s="1"/>
  <c r="AW12" s="1"/>
  <c r="AW13" s="1"/>
  <c r="AW14" s="1"/>
  <c r="AW15" s="1"/>
  <c r="AW16" s="1"/>
  <c r="AW17" s="1"/>
  <c r="D10"/>
  <c r="Y6"/>
  <c r="Y7" s="1"/>
  <c r="H6"/>
  <c r="H7" s="1"/>
  <c r="Z5"/>
  <c r="AD5" s="1"/>
  <c r="I5"/>
  <c r="F3"/>
  <c r="C22" s="1"/>
  <c r="L21" i="7"/>
  <c r="L20"/>
  <c r="L19"/>
  <c r="L18"/>
  <c r="L17"/>
  <c r="H17"/>
  <c r="I17"/>
  <c r="G18"/>
  <c r="H18"/>
  <c r="M17"/>
  <c r="H7"/>
  <c r="I7" s="1"/>
  <c r="G8"/>
  <c r="H8" s="1"/>
  <c r="O17"/>
  <c r="D17"/>
  <c r="I5" i="8"/>
  <c r="I6" s="1"/>
  <c r="D9" i="7"/>
  <c r="D8"/>
  <c r="C9" s="1"/>
  <c r="C8"/>
  <c r="C18"/>
  <c r="D18" s="1"/>
  <c r="G19" s="1"/>
  <c r="H19" s="1"/>
  <c r="I21" i="9"/>
  <c r="I20"/>
  <c r="H21"/>
  <c r="H20"/>
  <c r="G8"/>
  <c r="G9" s="1"/>
  <c r="G10" s="1"/>
  <c r="G11" s="1"/>
  <c r="G12" s="1"/>
  <c r="G13" s="1"/>
  <c r="G14" s="1"/>
  <c r="G15" s="1"/>
  <c r="G16" s="1"/>
  <c r="G17" s="1"/>
  <c r="G18" s="1"/>
  <c r="G7"/>
  <c r="D7" i="10"/>
  <c r="W6"/>
  <c r="W7" s="1"/>
  <c r="H6"/>
  <c r="H7" s="1"/>
  <c r="Z5"/>
  <c r="X5"/>
  <c r="X6" s="1"/>
  <c r="K5"/>
  <c r="I5"/>
  <c r="F3"/>
  <c r="C28" s="1"/>
  <c r="E31" i="9"/>
  <c r="E30"/>
  <c r="B31"/>
  <c r="B30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9" i="8"/>
  <c r="Y6"/>
  <c r="H6"/>
  <c r="Z5"/>
  <c r="Z6" s="1"/>
  <c r="F3"/>
  <c r="C22" s="1"/>
  <c r="AD5" i="6"/>
  <c r="Q5"/>
  <c r="D9"/>
  <c r="AH5" s="1"/>
  <c r="AA6"/>
  <c r="AH6" s="1"/>
  <c r="N6"/>
  <c r="U6" s="1"/>
  <c r="AB5"/>
  <c r="AB6" s="1"/>
  <c r="O5"/>
  <c r="O6" s="1"/>
  <c r="F3"/>
  <c r="C22" s="1"/>
  <c r="P5" i="13" l="1"/>
  <c r="P6" s="1"/>
  <c r="AH5"/>
  <c r="AH6" s="1"/>
  <c r="AH5" i="14"/>
  <c r="AH6" s="1"/>
  <c r="AA5"/>
  <c r="AI5"/>
  <c r="AD5"/>
  <c r="P5"/>
  <c r="R5" s="1"/>
  <c r="Q6" s="1"/>
  <c r="K5"/>
  <c r="K6" s="1"/>
  <c r="S6"/>
  <c r="N6"/>
  <c r="Z7"/>
  <c r="I7"/>
  <c r="AK6"/>
  <c r="AF6"/>
  <c r="L5"/>
  <c r="N5"/>
  <c r="Q5"/>
  <c r="S5"/>
  <c r="AF5"/>
  <c r="AK5"/>
  <c r="H7"/>
  <c r="Y7"/>
  <c r="AC5"/>
  <c r="AC6" s="1"/>
  <c r="AA5" i="13"/>
  <c r="K5"/>
  <c r="M5" s="1"/>
  <c r="S6"/>
  <c r="N6"/>
  <c r="AK6"/>
  <c r="AF6"/>
  <c r="L5"/>
  <c r="N5"/>
  <c r="Q5"/>
  <c r="S5"/>
  <c r="AD5"/>
  <c r="AF5"/>
  <c r="AI5"/>
  <c r="AK5"/>
  <c r="H7"/>
  <c r="Y7"/>
  <c r="Z7" s="1"/>
  <c r="Q5" i="10"/>
  <c r="R5" s="1"/>
  <c r="S5" s="1"/>
  <c r="AC5" i="13"/>
  <c r="AC6" s="1"/>
  <c r="AI5" i="12"/>
  <c r="AA5"/>
  <c r="K5"/>
  <c r="M5" s="1"/>
  <c r="N5" s="1"/>
  <c r="R5"/>
  <c r="I6"/>
  <c r="H8"/>
  <c r="Y8"/>
  <c r="Z6"/>
  <c r="AA6" s="1"/>
  <c r="L5"/>
  <c r="Q5"/>
  <c r="S5"/>
  <c r="AC5"/>
  <c r="M18" i="7"/>
  <c r="I18"/>
  <c r="O18" s="1"/>
  <c r="G9"/>
  <c r="H9" s="1"/>
  <c r="I8"/>
  <c r="AC5" i="8"/>
  <c r="AH5"/>
  <c r="C19" i="7"/>
  <c r="D19" s="1"/>
  <c r="I19" s="1"/>
  <c r="O19" s="1"/>
  <c r="L5" i="8"/>
  <c r="Q5"/>
  <c r="AB5"/>
  <c r="AB6" s="1"/>
  <c r="K5"/>
  <c r="K6" s="1"/>
  <c r="I7"/>
  <c r="I6" i="10"/>
  <c r="I7" s="1"/>
  <c r="X7"/>
  <c r="X8" s="1"/>
  <c r="AF6"/>
  <c r="H8"/>
  <c r="W8"/>
  <c r="L5"/>
  <c r="M5" s="1"/>
  <c r="N5" s="1"/>
  <c r="K6"/>
  <c r="Z6"/>
  <c r="AA6" s="1"/>
  <c r="AA5"/>
  <c r="AB5" s="1"/>
  <c r="AC5" s="1"/>
  <c r="AF5"/>
  <c r="AG5" s="1"/>
  <c r="AH5" s="1"/>
  <c r="AE5" i="6"/>
  <c r="AI5"/>
  <c r="H7" i="8"/>
  <c r="Y7"/>
  <c r="Z7" s="1"/>
  <c r="U5" i="6"/>
  <c r="V5" s="1"/>
  <c r="V6" s="1"/>
  <c r="D7" i="7"/>
  <c r="J17"/>
  <c r="AD6" i="6"/>
  <c r="R5"/>
  <c r="Q6"/>
  <c r="W6"/>
  <c r="S5"/>
  <c r="W5"/>
  <c r="N7"/>
  <c r="AA7"/>
  <c r="AF5"/>
  <c r="AJ5"/>
  <c r="AH7" i="13" l="1"/>
  <c r="P6" i="14"/>
  <c r="AH7"/>
  <c r="K5" i="6"/>
  <c r="J5"/>
  <c r="T5" i="13"/>
  <c r="K6"/>
  <c r="U5"/>
  <c r="I8" i="8"/>
  <c r="AE6" i="6"/>
  <c r="U5" i="10"/>
  <c r="AJ5" i="12"/>
  <c r="AK5" s="1"/>
  <c r="AL5"/>
  <c r="AL5" i="13"/>
  <c r="AM5" i="14"/>
  <c r="M5"/>
  <c r="L6" s="1"/>
  <c r="M6" s="1"/>
  <c r="L7" s="1"/>
  <c r="U5"/>
  <c r="AL5"/>
  <c r="T5"/>
  <c r="R6"/>
  <c r="Y8"/>
  <c r="Z8"/>
  <c r="S7"/>
  <c r="N7"/>
  <c r="P7"/>
  <c r="K7"/>
  <c r="R5" i="13"/>
  <c r="W5" s="1"/>
  <c r="AJ5" i="14"/>
  <c r="AE5"/>
  <c r="V5"/>
  <c r="H8"/>
  <c r="I8"/>
  <c r="AC7"/>
  <c r="AK7"/>
  <c r="AF7"/>
  <c r="W5"/>
  <c r="AM5" i="13"/>
  <c r="L6" i="12"/>
  <c r="L6" i="13"/>
  <c r="V5"/>
  <c r="AJ5"/>
  <c r="AE5"/>
  <c r="Q6"/>
  <c r="R6" s="1"/>
  <c r="AC7"/>
  <c r="AK7"/>
  <c r="AF7"/>
  <c r="H8"/>
  <c r="I7"/>
  <c r="P7" s="1"/>
  <c r="Y8"/>
  <c r="Z8" s="1"/>
  <c r="AH8" s="1"/>
  <c r="AE5" i="12"/>
  <c r="U5"/>
  <c r="AI6"/>
  <c r="W5"/>
  <c r="AO5"/>
  <c r="AM5"/>
  <c r="T5"/>
  <c r="V5"/>
  <c r="K6"/>
  <c r="Q6"/>
  <c r="I7"/>
  <c r="AC6"/>
  <c r="Z7"/>
  <c r="AA7" s="1"/>
  <c r="Y9"/>
  <c r="H9"/>
  <c r="G20" i="7"/>
  <c r="H20" s="1"/>
  <c r="M19"/>
  <c r="I9"/>
  <c r="G10"/>
  <c r="H10" s="1"/>
  <c r="L6" i="10"/>
  <c r="M6" s="1"/>
  <c r="Q6"/>
  <c r="R6" s="1"/>
  <c r="S6" s="1"/>
  <c r="AL5" i="8"/>
  <c r="U5"/>
  <c r="AK5"/>
  <c r="AB7"/>
  <c r="AI5"/>
  <c r="AJ5" s="1"/>
  <c r="AD5"/>
  <c r="AE5" s="1"/>
  <c r="R5"/>
  <c r="T5"/>
  <c r="K7"/>
  <c r="M5"/>
  <c r="N6" i="10"/>
  <c r="AB6"/>
  <c r="AC6" s="1"/>
  <c r="AG6"/>
  <c r="AH6" s="1"/>
  <c r="AI5"/>
  <c r="T5"/>
  <c r="AJ5"/>
  <c r="I8"/>
  <c r="AF7"/>
  <c r="Z7"/>
  <c r="AA7" s="1"/>
  <c r="Q7"/>
  <c r="K7"/>
  <c r="L7" s="1"/>
  <c r="W9"/>
  <c r="X9" s="1"/>
  <c r="H9"/>
  <c r="AI6" i="6"/>
  <c r="AJ6" s="1"/>
  <c r="AK5"/>
  <c r="K17" i="7"/>
  <c r="Y8" i="8"/>
  <c r="Z8" s="1"/>
  <c r="R6" i="6"/>
  <c r="J6" s="1"/>
  <c r="H8" i="8"/>
  <c r="I9" s="1"/>
  <c r="X5" i="6"/>
  <c r="J7" i="7"/>
  <c r="K7"/>
  <c r="AH7" i="6"/>
  <c r="AD7"/>
  <c r="Q7"/>
  <c r="U7"/>
  <c r="Y5"/>
  <c r="AL5"/>
  <c r="AA8"/>
  <c r="N8"/>
  <c r="O7"/>
  <c r="AB7"/>
  <c r="AH8" i="14" l="1"/>
  <c r="K6" i="6"/>
  <c r="S6"/>
  <c r="AF6"/>
  <c r="M6" i="13"/>
  <c r="W6"/>
  <c r="T6" i="14"/>
  <c r="K8" i="8"/>
  <c r="L6"/>
  <c r="N5"/>
  <c r="Q6"/>
  <c r="U6" s="1"/>
  <c r="S5"/>
  <c r="AB8"/>
  <c r="V5"/>
  <c r="R6" i="12"/>
  <c r="S6" s="1"/>
  <c r="AD6"/>
  <c r="AL6" s="1"/>
  <c r="AF5"/>
  <c r="M6"/>
  <c r="AN5"/>
  <c r="U6" i="14"/>
  <c r="W6"/>
  <c r="Q7"/>
  <c r="R7" s="1"/>
  <c r="Q8" s="1"/>
  <c r="M7"/>
  <c r="AN5"/>
  <c r="V6"/>
  <c r="U7"/>
  <c r="H9"/>
  <c r="I9"/>
  <c r="AK8"/>
  <c r="AF8"/>
  <c r="AC8"/>
  <c r="R7" i="10"/>
  <c r="S7" s="1"/>
  <c r="AO5" i="14"/>
  <c r="P8"/>
  <c r="K8"/>
  <c r="S8"/>
  <c r="N8"/>
  <c r="L8"/>
  <c r="M8" s="1"/>
  <c r="Y9"/>
  <c r="Z9"/>
  <c r="AH9" s="1"/>
  <c r="AO5" i="13"/>
  <c r="AN5"/>
  <c r="AA6" s="1"/>
  <c r="T6"/>
  <c r="V6"/>
  <c r="U6"/>
  <c r="AC8"/>
  <c r="AK8"/>
  <c r="AF8"/>
  <c r="H9"/>
  <c r="Z9"/>
  <c r="AH9" s="1"/>
  <c r="Y9"/>
  <c r="S7"/>
  <c r="Q7"/>
  <c r="N7"/>
  <c r="L7"/>
  <c r="K7"/>
  <c r="I8"/>
  <c r="P8" s="1"/>
  <c r="AJ6" i="12"/>
  <c r="AK6" s="1"/>
  <c r="AM6"/>
  <c r="U6"/>
  <c r="T6"/>
  <c r="Q7"/>
  <c r="K7"/>
  <c r="I8"/>
  <c r="AJ6" i="10"/>
  <c r="H10" i="12"/>
  <c r="Y10"/>
  <c r="AC7"/>
  <c r="Z8"/>
  <c r="AA8" s="1"/>
  <c r="M7" i="10"/>
  <c r="AN5" i="8"/>
  <c r="G11" i="7"/>
  <c r="H11" s="1"/>
  <c r="I11" s="1"/>
  <c r="I10"/>
  <c r="AM5" i="8"/>
  <c r="AB7" i="10"/>
  <c r="AC7" s="1"/>
  <c r="AG7"/>
  <c r="AH7" s="1"/>
  <c r="U6"/>
  <c r="AH6" i="8"/>
  <c r="AC6"/>
  <c r="W5"/>
  <c r="K9"/>
  <c r="AI6" i="10"/>
  <c r="U7"/>
  <c r="I9"/>
  <c r="T6"/>
  <c r="H10"/>
  <c r="W10"/>
  <c r="X10"/>
  <c r="Q8"/>
  <c r="K8"/>
  <c r="L8" s="1"/>
  <c r="AF8"/>
  <c r="Z8"/>
  <c r="AA8" s="1"/>
  <c r="AI7" i="6"/>
  <c r="AJ7" s="1"/>
  <c r="AE7"/>
  <c r="H9" i="8"/>
  <c r="I10" s="1"/>
  <c r="Y9"/>
  <c r="Z9"/>
  <c r="AK6" i="6"/>
  <c r="AH8"/>
  <c r="AD8"/>
  <c r="R7"/>
  <c r="S7" s="1"/>
  <c r="V7"/>
  <c r="O8"/>
  <c r="U8"/>
  <c r="Q8"/>
  <c r="Y6"/>
  <c r="AL6"/>
  <c r="X6"/>
  <c r="W7"/>
  <c r="N9"/>
  <c r="AA9"/>
  <c r="AF7"/>
  <c r="AB8"/>
  <c r="K7" l="1"/>
  <c r="J7"/>
  <c r="R6" i="8"/>
  <c r="Q7" s="1"/>
  <c r="R7" s="1"/>
  <c r="T6"/>
  <c r="AB9"/>
  <c r="M6"/>
  <c r="L7" s="1"/>
  <c r="N6"/>
  <c r="S6"/>
  <c r="T7" i="10"/>
  <c r="N7"/>
  <c r="R8"/>
  <c r="S8" s="1"/>
  <c r="AE6" i="12"/>
  <c r="AF6" s="1"/>
  <c r="V6"/>
  <c r="L7"/>
  <c r="U7" s="1"/>
  <c r="N6"/>
  <c r="M7"/>
  <c r="N7" s="1"/>
  <c r="W6"/>
  <c r="R7"/>
  <c r="V7" s="1"/>
  <c r="AG8" i="10"/>
  <c r="AH8" s="1"/>
  <c r="AB8"/>
  <c r="AC8" s="1"/>
  <c r="M8"/>
  <c r="W7" i="14"/>
  <c r="T7"/>
  <c r="AA6"/>
  <c r="AI6" s="1"/>
  <c r="V7"/>
  <c r="T8"/>
  <c r="U8"/>
  <c r="R8"/>
  <c r="W8" s="1"/>
  <c r="AK9"/>
  <c r="AF9"/>
  <c r="AC9"/>
  <c r="P9"/>
  <c r="K9"/>
  <c r="S9"/>
  <c r="N9"/>
  <c r="L9"/>
  <c r="M9" s="1"/>
  <c r="T7" i="13"/>
  <c r="R7"/>
  <c r="Y10" i="14"/>
  <c r="Z10"/>
  <c r="AH10" s="1"/>
  <c r="H10"/>
  <c r="I10"/>
  <c r="AJ7" i="10"/>
  <c r="U7" i="13"/>
  <c r="M7"/>
  <c r="AI6"/>
  <c r="AJ6" s="1"/>
  <c r="Y10"/>
  <c r="Z10"/>
  <c r="AH10" s="1"/>
  <c r="H10"/>
  <c r="S8"/>
  <c r="N8"/>
  <c r="K8"/>
  <c r="AC9"/>
  <c r="AK9"/>
  <c r="AF9"/>
  <c r="I9"/>
  <c r="P9" s="1"/>
  <c r="I9" i="12"/>
  <c r="I10" s="1"/>
  <c r="K8"/>
  <c r="AI7" i="10"/>
  <c r="AC8" i="12"/>
  <c r="Z9"/>
  <c r="AA9" s="1"/>
  <c r="Y11"/>
  <c r="H11"/>
  <c r="AD6" i="8"/>
  <c r="AE6" s="1"/>
  <c r="AK6"/>
  <c r="AI6"/>
  <c r="AL6"/>
  <c r="AH7"/>
  <c r="K10"/>
  <c r="I10" i="10"/>
  <c r="U8"/>
  <c r="W11"/>
  <c r="X11"/>
  <c r="H11"/>
  <c r="AF9"/>
  <c r="Z9"/>
  <c r="AA9" s="1"/>
  <c r="Q9"/>
  <c r="K9"/>
  <c r="L9" s="1"/>
  <c r="AE8" i="6"/>
  <c r="AI8"/>
  <c r="Z10" i="8"/>
  <c r="Y10"/>
  <c r="H10"/>
  <c r="I11" s="1"/>
  <c r="AK7" i="6"/>
  <c r="AL7"/>
  <c r="O9"/>
  <c r="AH9"/>
  <c r="AD9"/>
  <c r="R8"/>
  <c r="S8" s="1"/>
  <c r="V8"/>
  <c r="W8" s="1"/>
  <c r="Q9"/>
  <c r="U9"/>
  <c r="Y7"/>
  <c r="X7"/>
  <c r="AJ8"/>
  <c r="AF8"/>
  <c r="AA10"/>
  <c r="N10"/>
  <c r="AB9"/>
  <c r="Q9" i="14" l="1"/>
  <c r="R9" s="1"/>
  <c r="V9" s="1"/>
  <c r="K8" i="6"/>
  <c r="J8"/>
  <c r="M9" i="10"/>
  <c r="N9" s="1"/>
  <c r="W7" i="13"/>
  <c r="AB10" i="8"/>
  <c r="T7"/>
  <c r="U7"/>
  <c r="Q8"/>
  <c r="R8" s="1"/>
  <c r="Q9" s="1"/>
  <c r="R9" s="1"/>
  <c r="Q10" s="1"/>
  <c r="S7"/>
  <c r="AN6"/>
  <c r="AJ6"/>
  <c r="AI8" i="10"/>
  <c r="T8"/>
  <c r="N8"/>
  <c r="AO6" i="12"/>
  <c r="R9" i="10"/>
  <c r="S9" s="1"/>
  <c r="AB9"/>
  <c r="AC9" s="1"/>
  <c r="Q8" i="12"/>
  <c r="AD7"/>
  <c r="AE7" s="1"/>
  <c r="AF7" s="1"/>
  <c r="AN6"/>
  <c r="AI7"/>
  <c r="AJ7" s="1"/>
  <c r="AK7" s="1"/>
  <c r="L8"/>
  <c r="T8" s="1"/>
  <c r="T7"/>
  <c r="W7"/>
  <c r="S7"/>
  <c r="U8"/>
  <c r="AJ8" i="10"/>
  <c r="I11"/>
  <c r="I12" s="1"/>
  <c r="AG9"/>
  <c r="Q8" i="13"/>
  <c r="R8" s="1"/>
  <c r="AD6" i="14"/>
  <c r="AE6" s="1"/>
  <c r="AJ6"/>
  <c r="AM6"/>
  <c r="T9"/>
  <c r="V8"/>
  <c r="W9"/>
  <c r="H11"/>
  <c r="I11"/>
  <c r="Y11"/>
  <c r="Z11"/>
  <c r="AH11" s="1"/>
  <c r="U9"/>
  <c r="P10"/>
  <c r="K10"/>
  <c r="S10"/>
  <c r="Q10"/>
  <c r="N10"/>
  <c r="L10"/>
  <c r="M10" s="1"/>
  <c r="AK10"/>
  <c r="AF10"/>
  <c r="AC10"/>
  <c r="V7" i="13"/>
  <c r="L8"/>
  <c r="M8" s="1"/>
  <c r="V8" s="1"/>
  <c r="AD6"/>
  <c r="AM6" s="1"/>
  <c r="H11"/>
  <c r="Y11"/>
  <c r="Z11"/>
  <c r="AH11" s="1"/>
  <c r="S9"/>
  <c r="Q9"/>
  <c r="N9"/>
  <c r="K9"/>
  <c r="AK10"/>
  <c r="AF10"/>
  <c r="AC10"/>
  <c r="I10"/>
  <c r="P10" s="1"/>
  <c r="I11" i="12"/>
  <c r="AD8"/>
  <c r="AE8" s="1"/>
  <c r="AF8" s="1"/>
  <c r="R8"/>
  <c r="M8"/>
  <c r="K9"/>
  <c r="K10" s="1"/>
  <c r="H12"/>
  <c r="Y12"/>
  <c r="AC9"/>
  <c r="Z10"/>
  <c r="AA10" s="1"/>
  <c r="S8" i="8"/>
  <c r="R9" i="6"/>
  <c r="S9" s="1"/>
  <c r="AC7" i="8"/>
  <c r="AK7" s="1"/>
  <c r="AI7"/>
  <c r="AJ7" s="1"/>
  <c r="AM6"/>
  <c r="S9"/>
  <c r="K11"/>
  <c r="T9" i="10"/>
  <c r="U9"/>
  <c r="H12"/>
  <c r="W12"/>
  <c r="X12"/>
  <c r="Q10"/>
  <c r="R10" s="1"/>
  <c r="S10" s="1"/>
  <c r="K10"/>
  <c r="L10" s="1"/>
  <c r="M10" s="1"/>
  <c r="N10" s="1"/>
  <c r="AF10"/>
  <c r="Z10"/>
  <c r="AA10" s="1"/>
  <c r="Y8" i="6"/>
  <c r="AI9"/>
  <c r="H11" i="8"/>
  <c r="I12" s="1"/>
  <c r="Y11"/>
  <c r="Z11" s="1"/>
  <c r="AB11" s="1"/>
  <c r="V9" i="6"/>
  <c r="X8"/>
  <c r="AH10"/>
  <c r="AD10"/>
  <c r="O10"/>
  <c r="U10"/>
  <c r="Q10"/>
  <c r="AJ9"/>
  <c r="AB10"/>
  <c r="AB11" s="1"/>
  <c r="N11"/>
  <c r="AA11"/>
  <c r="AL6" i="14" l="1"/>
  <c r="L9" i="13"/>
  <c r="J9" i="6"/>
  <c r="O11"/>
  <c r="X9"/>
  <c r="AN7" i="12"/>
  <c r="W9" i="6"/>
  <c r="AG10" i="10"/>
  <c r="AH10" s="1"/>
  <c r="AB10"/>
  <c r="AC10" s="1"/>
  <c r="AI9"/>
  <c r="AH9"/>
  <c r="AJ9"/>
  <c r="AO7" i="12"/>
  <c r="AM7"/>
  <c r="AL7"/>
  <c r="AI8"/>
  <c r="AJ8" s="1"/>
  <c r="AK8" s="1"/>
  <c r="L9"/>
  <c r="N8"/>
  <c r="Q9"/>
  <c r="S8"/>
  <c r="M9"/>
  <c r="L10" s="1"/>
  <c r="M10" s="1"/>
  <c r="T9" i="13"/>
  <c r="AN6" i="14"/>
  <c r="AO6"/>
  <c r="AA7"/>
  <c r="AI7" s="1"/>
  <c r="U10"/>
  <c r="T10"/>
  <c r="AK11"/>
  <c r="AF11"/>
  <c r="AC11"/>
  <c r="P11"/>
  <c r="K11"/>
  <c r="S11"/>
  <c r="N11"/>
  <c r="L11"/>
  <c r="R9" i="13"/>
  <c r="Q10" s="1"/>
  <c r="R10" i="14"/>
  <c r="W10" s="1"/>
  <c r="Y12"/>
  <c r="Z12"/>
  <c r="AH12" s="1"/>
  <c r="H12"/>
  <c r="I12"/>
  <c r="M9" i="13"/>
  <c r="V9" s="1"/>
  <c r="T8"/>
  <c r="U9"/>
  <c r="W8"/>
  <c r="U8"/>
  <c r="I12" i="12"/>
  <c r="AE6" i="13"/>
  <c r="AL6"/>
  <c r="K10"/>
  <c r="S10"/>
  <c r="N10"/>
  <c r="AK11"/>
  <c r="AF11"/>
  <c r="AC11"/>
  <c r="I11"/>
  <c r="P11" s="1"/>
  <c r="Y12"/>
  <c r="Z12"/>
  <c r="AH12" s="1"/>
  <c r="H12"/>
  <c r="I12"/>
  <c r="P12" s="1"/>
  <c r="AI9" i="12"/>
  <c r="AD9"/>
  <c r="AM8"/>
  <c r="AL8"/>
  <c r="AN8"/>
  <c r="AE9"/>
  <c r="AJ9"/>
  <c r="AK9" s="1"/>
  <c r="K11"/>
  <c r="U9"/>
  <c r="V8"/>
  <c r="N9"/>
  <c r="AF9"/>
  <c r="R9"/>
  <c r="S9" s="1"/>
  <c r="AO8"/>
  <c r="W8"/>
  <c r="AC10"/>
  <c r="Z11"/>
  <c r="AA11" s="1"/>
  <c r="Y13"/>
  <c r="H13"/>
  <c r="AD7" i="8"/>
  <c r="AH8" s="1"/>
  <c r="AI8" s="1"/>
  <c r="AJ8" s="1"/>
  <c r="AL7"/>
  <c r="Y9" i="6"/>
  <c r="R10" i="8"/>
  <c r="K12"/>
  <c r="U10" i="10"/>
  <c r="T10"/>
  <c r="W13"/>
  <c r="X13"/>
  <c r="H13"/>
  <c r="I13"/>
  <c r="AF11"/>
  <c r="Z11"/>
  <c r="Q11"/>
  <c r="R11" s="1"/>
  <c r="S11" s="1"/>
  <c r="K11"/>
  <c r="AK8" i="6"/>
  <c r="AE9"/>
  <c r="K9" s="1"/>
  <c r="AL8"/>
  <c r="Z12" i="8"/>
  <c r="AB12" s="1"/>
  <c r="Y12"/>
  <c r="H12"/>
  <c r="I13" s="1"/>
  <c r="AH11" i="6"/>
  <c r="AD11"/>
  <c r="V10"/>
  <c r="W10" s="1"/>
  <c r="R10"/>
  <c r="U11"/>
  <c r="Q11"/>
  <c r="AA12"/>
  <c r="N12"/>
  <c r="J10" l="1"/>
  <c r="AM7" i="8"/>
  <c r="Q11"/>
  <c r="S10"/>
  <c r="AN7"/>
  <c r="AE7"/>
  <c r="AI10" i="6"/>
  <c r="AF9"/>
  <c r="AG11" i="10"/>
  <c r="AH11" s="1"/>
  <c r="AI10"/>
  <c r="AJ10"/>
  <c r="T9" i="12"/>
  <c r="L11"/>
  <c r="M11" s="1"/>
  <c r="N10"/>
  <c r="K12"/>
  <c r="AJ7" i="14"/>
  <c r="AD7"/>
  <c r="M11"/>
  <c r="Q11"/>
  <c r="U11" s="1"/>
  <c r="P12"/>
  <c r="K12"/>
  <c r="S12"/>
  <c r="N12"/>
  <c r="L12"/>
  <c r="AK12"/>
  <c r="AF12"/>
  <c r="AC12"/>
  <c r="L10" i="13"/>
  <c r="M10" s="1"/>
  <c r="L11" s="1"/>
  <c r="H13" i="14"/>
  <c r="I13"/>
  <c r="Y13"/>
  <c r="Z13"/>
  <c r="AH13" s="1"/>
  <c r="V10"/>
  <c r="R10" i="13"/>
  <c r="V10" s="1"/>
  <c r="W9"/>
  <c r="AN6"/>
  <c r="AA7" s="1"/>
  <c r="AO6"/>
  <c r="H13"/>
  <c r="I13"/>
  <c r="P13" s="1"/>
  <c r="Y13"/>
  <c r="Z13"/>
  <c r="AH13" s="1"/>
  <c r="S12"/>
  <c r="N12"/>
  <c r="AK12"/>
  <c r="AF12"/>
  <c r="AC12"/>
  <c r="K11"/>
  <c r="S11"/>
  <c r="N11"/>
  <c r="AI10" i="12"/>
  <c r="AD10"/>
  <c r="AE10" s="1"/>
  <c r="AF10" s="1"/>
  <c r="AC8" i="8"/>
  <c r="AD8" s="1"/>
  <c r="AC9" s="1"/>
  <c r="AD9" s="1"/>
  <c r="AL9" i="12"/>
  <c r="AJ10"/>
  <c r="AK10" s="1"/>
  <c r="AO9"/>
  <c r="AM9"/>
  <c r="AN9"/>
  <c r="V9"/>
  <c r="W9"/>
  <c r="Q10"/>
  <c r="H14"/>
  <c r="Y14"/>
  <c r="AC11"/>
  <c r="Z12"/>
  <c r="AA12" s="1"/>
  <c r="I13"/>
  <c r="R11" i="8"/>
  <c r="K13"/>
  <c r="I14" i="10"/>
  <c r="H14"/>
  <c r="X14"/>
  <c r="W14"/>
  <c r="Q12"/>
  <c r="R12" s="1"/>
  <c r="S12" s="1"/>
  <c r="K12"/>
  <c r="L11"/>
  <c r="M11" s="1"/>
  <c r="AF12"/>
  <c r="Z12"/>
  <c r="AA11"/>
  <c r="AB11" s="1"/>
  <c r="AL9" i="6"/>
  <c r="AK9"/>
  <c r="AE10"/>
  <c r="H13" i="8"/>
  <c r="I14" s="1"/>
  <c r="Z13"/>
  <c r="AB13" s="1"/>
  <c r="Y13"/>
  <c r="Y10" i="6"/>
  <c r="S10"/>
  <c r="R11"/>
  <c r="S11" s="1"/>
  <c r="X10"/>
  <c r="V11"/>
  <c r="AB12"/>
  <c r="AH12"/>
  <c r="AD12"/>
  <c r="O12"/>
  <c r="U12"/>
  <c r="Q12"/>
  <c r="N13"/>
  <c r="AA13"/>
  <c r="AK10" l="1"/>
  <c r="J11"/>
  <c r="K10"/>
  <c r="AF10"/>
  <c r="M11" i="13"/>
  <c r="Q11"/>
  <c r="U11" s="1"/>
  <c r="U10"/>
  <c r="T10"/>
  <c r="Q12" i="8"/>
  <c r="S11"/>
  <c r="AE8"/>
  <c r="AM8"/>
  <c r="AN8"/>
  <c r="AH9"/>
  <c r="AI9" s="1"/>
  <c r="AL8"/>
  <c r="AI11" i="10"/>
  <c r="AC11"/>
  <c r="T11"/>
  <c r="N11"/>
  <c r="L12" i="12"/>
  <c r="M12" s="1"/>
  <c r="N12" s="1"/>
  <c r="N11"/>
  <c r="AL7" i="14"/>
  <c r="AM7"/>
  <c r="AE7"/>
  <c r="R11"/>
  <c r="W11" s="1"/>
  <c r="M12"/>
  <c r="L13" s="1"/>
  <c r="T11"/>
  <c r="Z14"/>
  <c r="AH14" s="1"/>
  <c r="Y14"/>
  <c r="I14"/>
  <c r="H14"/>
  <c r="V11"/>
  <c r="AK13"/>
  <c r="AF13"/>
  <c r="AC13"/>
  <c r="P13"/>
  <c r="K13"/>
  <c r="S13"/>
  <c r="N13"/>
  <c r="W10" i="13"/>
  <c r="AD7"/>
  <c r="AI7"/>
  <c r="L12"/>
  <c r="K12"/>
  <c r="K13" s="1"/>
  <c r="Y14"/>
  <c r="Z14" s="1"/>
  <c r="AH14" s="1"/>
  <c r="H14"/>
  <c r="I14" s="1"/>
  <c r="P14" s="1"/>
  <c r="AK13"/>
  <c r="AF13"/>
  <c r="AC13"/>
  <c r="S13"/>
  <c r="N13"/>
  <c r="AK8" i="8"/>
  <c r="AI11" i="12"/>
  <c r="AD11"/>
  <c r="AE11" s="1"/>
  <c r="AF11" s="1"/>
  <c r="AO10"/>
  <c r="AN10"/>
  <c r="AL10"/>
  <c r="AM10"/>
  <c r="R10"/>
  <c r="S10" s="1"/>
  <c r="U10"/>
  <c r="T10"/>
  <c r="AC12"/>
  <c r="Z13"/>
  <c r="AA13" s="1"/>
  <c r="Y15"/>
  <c r="H15"/>
  <c r="L13"/>
  <c r="K13"/>
  <c r="I14"/>
  <c r="R12" i="8"/>
  <c r="S12" s="1"/>
  <c r="K14"/>
  <c r="AF13" i="10"/>
  <c r="Z13"/>
  <c r="AA12"/>
  <c r="AB12" s="1"/>
  <c r="AC12" s="1"/>
  <c r="AG12"/>
  <c r="AH12" s="1"/>
  <c r="U11"/>
  <c r="Q13"/>
  <c r="R13" s="1"/>
  <c r="S13" s="1"/>
  <c r="K13"/>
  <c r="L12"/>
  <c r="M12" s="1"/>
  <c r="W15"/>
  <c r="X15"/>
  <c r="H15"/>
  <c r="I15"/>
  <c r="AJ11"/>
  <c r="AE11" i="6"/>
  <c r="AI11"/>
  <c r="AJ11" s="1"/>
  <c r="AE9" i="8"/>
  <c r="Y14"/>
  <c r="Z14"/>
  <c r="AB14" s="1"/>
  <c r="H14"/>
  <c r="I15" s="1"/>
  <c r="X11" i="6"/>
  <c r="R12"/>
  <c r="S12" s="1"/>
  <c r="Y11"/>
  <c r="W11"/>
  <c r="AL10"/>
  <c r="AJ10"/>
  <c r="V12"/>
  <c r="AB13"/>
  <c r="AH13"/>
  <c r="AD13"/>
  <c r="O13"/>
  <c r="U13"/>
  <c r="Q13"/>
  <c r="AA14"/>
  <c r="N14"/>
  <c r="R11" i="13" l="1"/>
  <c r="V11" s="1"/>
  <c r="T11"/>
  <c r="K11" i="6"/>
  <c r="J12"/>
  <c r="AK9" i="8"/>
  <c r="AL9"/>
  <c r="AN9"/>
  <c r="AJ9"/>
  <c r="AM9"/>
  <c r="T12" i="10"/>
  <c r="N12"/>
  <c r="AO7" i="14"/>
  <c r="AN7"/>
  <c r="AA8" s="1"/>
  <c r="M13"/>
  <c r="Q12"/>
  <c r="R12" s="1"/>
  <c r="L14"/>
  <c r="P14"/>
  <c r="K14"/>
  <c r="AC14"/>
  <c r="H15"/>
  <c r="I15"/>
  <c r="Y15"/>
  <c r="Z15"/>
  <c r="AH15" s="1"/>
  <c r="T12"/>
  <c r="AE7" i="13"/>
  <c r="AL7"/>
  <c r="AM7"/>
  <c r="AJ7"/>
  <c r="Q12"/>
  <c r="R12" s="1"/>
  <c r="W11"/>
  <c r="U12"/>
  <c r="M12"/>
  <c r="AC14"/>
  <c r="K14"/>
  <c r="H15"/>
  <c r="I15" s="1"/>
  <c r="P15" s="1"/>
  <c r="Y15"/>
  <c r="Z15" s="1"/>
  <c r="AH15" s="1"/>
  <c r="M13" i="12"/>
  <c r="N13" s="1"/>
  <c r="AL11"/>
  <c r="AM11"/>
  <c r="AJ11"/>
  <c r="W10"/>
  <c r="Q11"/>
  <c r="V10"/>
  <c r="H16"/>
  <c r="Y16"/>
  <c r="AC13"/>
  <c r="Z14"/>
  <c r="AA14" s="1"/>
  <c r="K14"/>
  <c r="L14"/>
  <c r="I15"/>
  <c r="I16" s="1"/>
  <c r="AH10" i="8"/>
  <c r="AC10"/>
  <c r="Q13"/>
  <c r="K15"/>
  <c r="AJ12" i="10"/>
  <c r="U12"/>
  <c r="AI12"/>
  <c r="AG13"/>
  <c r="AH13" s="1"/>
  <c r="H16"/>
  <c r="I16"/>
  <c r="W16"/>
  <c r="X16"/>
  <c r="Q14"/>
  <c r="R14" s="1"/>
  <c r="S14" s="1"/>
  <c r="K14"/>
  <c r="L13"/>
  <c r="M13" s="1"/>
  <c r="AF14"/>
  <c r="Z14"/>
  <c r="AA13"/>
  <c r="AB13" s="1"/>
  <c r="AE12" i="6"/>
  <c r="AI12"/>
  <c r="H15" i="8"/>
  <c r="Z15"/>
  <c r="Y15"/>
  <c r="X12" i="6"/>
  <c r="Y12"/>
  <c r="W12"/>
  <c r="AK11"/>
  <c r="AF11"/>
  <c r="AH14"/>
  <c r="AD14"/>
  <c r="V13"/>
  <c r="W13" s="1"/>
  <c r="AL11"/>
  <c r="AJ12" s="1"/>
  <c r="R13"/>
  <c r="Y13" s="1"/>
  <c r="U14"/>
  <c r="Q14"/>
  <c r="N15"/>
  <c r="AA15"/>
  <c r="O14"/>
  <c r="AB14"/>
  <c r="K12" l="1"/>
  <c r="J13"/>
  <c r="T12" i="13"/>
  <c r="AI13" i="10"/>
  <c r="AC13"/>
  <c r="T13"/>
  <c r="N13"/>
  <c r="AN11" i="12"/>
  <c r="AK11"/>
  <c r="U12" i="14"/>
  <c r="AD8"/>
  <c r="AI8"/>
  <c r="M14"/>
  <c r="N14" s="1"/>
  <c r="AC15"/>
  <c r="P15"/>
  <c r="K15"/>
  <c r="W12"/>
  <c r="V12"/>
  <c r="Q13"/>
  <c r="Y16"/>
  <c r="Z16"/>
  <c r="AH16" s="1"/>
  <c r="H16"/>
  <c r="I16"/>
  <c r="AN7" i="13"/>
  <c r="AA8" s="1"/>
  <c r="AO7"/>
  <c r="W12"/>
  <c r="Q13"/>
  <c r="V12"/>
  <c r="L13"/>
  <c r="AC15"/>
  <c r="K15"/>
  <c r="Y16"/>
  <c r="Z16" s="1"/>
  <c r="AH16" s="1"/>
  <c r="H16"/>
  <c r="I16" s="1"/>
  <c r="P16" s="1"/>
  <c r="AI12" i="12"/>
  <c r="AD12"/>
  <c r="AO11"/>
  <c r="R11"/>
  <c r="S11" s="1"/>
  <c r="U11"/>
  <c r="T11"/>
  <c r="M14"/>
  <c r="N14" s="1"/>
  <c r="AC14"/>
  <c r="Z15"/>
  <c r="K15"/>
  <c r="Y17"/>
  <c r="H17"/>
  <c r="I17"/>
  <c r="AI13" i="6"/>
  <c r="AI10" i="8"/>
  <c r="AJ10" s="1"/>
  <c r="AL10"/>
  <c r="AD10"/>
  <c r="AK10"/>
  <c r="AB15"/>
  <c r="R13"/>
  <c r="AF15" i="10"/>
  <c r="Z15"/>
  <c r="AA14"/>
  <c r="AB14" s="1"/>
  <c r="AC14" s="1"/>
  <c r="X17"/>
  <c r="W17"/>
  <c r="I17"/>
  <c r="H17"/>
  <c r="U13"/>
  <c r="Q15"/>
  <c r="R15" s="1"/>
  <c r="S15" s="1"/>
  <c r="K15"/>
  <c r="L14"/>
  <c r="M14" s="1"/>
  <c r="AG14"/>
  <c r="AH14" s="1"/>
  <c r="AJ13"/>
  <c r="AE13" i="6"/>
  <c r="K13" s="1"/>
  <c r="Y16" i="8"/>
  <c r="Z16" s="1"/>
  <c r="H16"/>
  <c r="I16" s="1"/>
  <c r="R14" i="6"/>
  <c r="S13"/>
  <c r="AH15"/>
  <c r="AD15"/>
  <c r="X13"/>
  <c r="AL12"/>
  <c r="V14"/>
  <c r="U15"/>
  <c r="Q15"/>
  <c r="AB15"/>
  <c r="O15"/>
  <c r="AA16"/>
  <c r="N16"/>
  <c r="J14" l="1"/>
  <c r="L15" i="14"/>
  <c r="M15" s="1"/>
  <c r="N15" s="1"/>
  <c r="AJ13" i="6"/>
  <c r="Q14" i="8"/>
  <c r="S13"/>
  <c r="AM10"/>
  <c r="AE10"/>
  <c r="AE14" i="6"/>
  <c r="T14" i="10"/>
  <c r="N14"/>
  <c r="L15" i="12"/>
  <c r="M15" s="1"/>
  <c r="AL8" i="14"/>
  <c r="AE8"/>
  <c r="AM8"/>
  <c r="AJ8"/>
  <c r="AO8" s="1"/>
  <c r="H17"/>
  <c r="I17" s="1"/>
  <c r="Y17"/>
  <c r="Z17" s="1"/>
  <c r="AH17" s="1"/>
  <c r="P16"/>
  <c r="K16"/>
  <c r="L16"/>
  <c r="AC16"/>
  <c r="R13"/>
  <c r="U13"/>
  <c r="T13"/>
  <c r="AD8" i="13"/>
  <c r="AI8"/>
  <c r="M13"/>
  <c r="T13"/>
  <c r="R13"/>
  <c r="U13"/>
  <c r="K16"/>
  <c r="AC16"/>
  <c r="I17"/>
  <c r="P17" s="1"/>
  <c r="H17"/>
  <c r="Z17"/>
  <c r="AH17" s="1"/>
  <c r="Y17"/>
  <c r="AA15" i="12"/>
  <c r="AE12"/>
  <c r="AF12" s="1"/>
  <c r="AL12"/>
  <c r="AM12"/>
  <c r="AJ12"/>
  <c r="AK12" s="1"/>
  <c r="W11"/>
  <c r="Q12"/>
  <c r="V11"/>
  <c r="H18"/>
  <c r="I18"/>
  <c r="Y18"/>
  <c r="AC15"/>
  <c r="Z16"/>
  <c r="K16"/>
  <c r="AC11" i="8"/>
  <c r="AH11"/>
  <c r="AN10"/>
  <c r="AB16"/>
  <c r="R14"/>
  <c r="K16"/>
  <c r="AJ14" i="10"/>
  <c r="Q16"/>
  <c r="R16" s="1"/>
  <c r="S16" s="1"/>
  <c r="K16"/>
  <c r="L15"/>
  <c r="M15" s="1"/>
  <c r="I18"/>
  <c r="H18"/>
  <c r="X18"/>
  <c r="W18"/>
  <c r="AI14"/>
  <c r="AG15"/>
  <c r="AH15" s="1"/>
  <c r="AF16"/>
  <c r="Z16"/>
  <c r="AA15"/>
  <c r="AB15" s="1"/>
  <c r="AC15" s="1"/>
  <c r="U15"/>
  <c r="U14"/>
  <c r="AI14" i="6"/>
  <c r="AI15" s="1"/>
  <c r="H17" i="8"/>
  <c r="I17" s="1"/>
  <c r="Y17"/>
  <c r="Z17" s="1"/>
  <c r="AK12" i="6"/>
  <c r="AF12"/>
  <c r="R15"/>
  <c r="AB16"/>
  <c r="AH16"/>
  <c r="AD16"/>
  <c r="AF13"/>
  <c r="V15"/>
  <c r="O16"/>
  <c r="U16"/>
  <c r="Q16"/>
  <c r="W14"/>
  <c r="Y14"/>
  <c r="X14"/>
  <c r="S14"/>
  <c r="N17"/>
  <c r="AA17"/>
  <c r="W15"/>
  <c r="S15"/>
  <c r="J15" l="1"/>
  <c r="K14"/>
  <c r="M16" i="14"/>
  <c r="N16" s="1"/>
  <c r="AE15" i="6"/>
  <c r="K15" s="1"/>
  <c r="T15" i="10"/>
  <c r="N15"/>
  <c r="L16" i="12"/>
  <c r="M16" s="1"/>
  <c r="N16" s="1"/>
  <c r="N15"/>
  <c r="AN8" i="14"/>
  <c r="AA9" s="1"/>
  <c r="AC17"/>
  <c r="L17"/>
  <c r="P17"/>
  <c r="K17"/>
  <c r="W13"/>
  <c r="V13"/>
  <c r="Q14"/>
  <c r="Y18"/>
  <c r="Z18" s="1"/>
  <c r="AH18" s="1"/>
  <c r="H18"/>
  <c r="I18" s="1"/>
  <c r="AE8" i="13"/>
  <c r="AL8"/>
  <c r="AJ8"/>
  <c r="AO8" s="1"/>
  <c r="AM8"/>
  <c r="W13"/>
  <c r="Q14"/>
  <c r="V13"/>
  <c r="L14"/>
  <c r="Y18"/>
  <c r="Z18" s="1"/>
  <c r="AH18" s="1"/>
  <c r="H18"/>
  <c r="I18" s="1"/>
  <c r="P18" s="1"/>
  <c r="AC17"/>
  <c r="K17"/>
  <c r="AA16" i="12"/>
  <c r="AI13"/>
  <c r="AD13"/>
  <c r="AN12"/>
  <c r="AO12"/>
  <c r="R12"/>
  <c r="S12" s="1"/>
  <c r="U12"/>
  <c r="T12"/>
  <c r="AC16"/>
  <c r="Z17"/>
  <c r="Y19"/>
  <c r="I19"/>
  <c r="H19"/>
  <c r="K17"/>
  <c r="K18" s="1"/>
  <c r="S14" i="8"/>
  <c r="Q15"/>
  <c r="AD11"/>
  <c r="AE11" s="1"/>
  <c r="AK11"/>
  <c r="AI11"/>
  <c r="AL11"/>
  <c r="AB17"/>
  <c r="K17"/>
  <c r="AI15" i="10"/>
  <c r="AF17"/>
  <c r="Z17"/>
  <c r="AA16"/>
  <c r="AB16" s="1"/>
  <c r="AC16" s="1"/>
  <c r="X19"/>
  <c r="W19"/>
  <c r="I19"/>
  <c r="H19"/>
  <c r="AJ15"/>
  <c r="Q17"/>
  <c r="R17" s="1"/>
  <c r="S17" s="1"/>
  <c r="K17"/>
  <c r="L16"/>
  <c r="M16" s="1"/>
  <c r="AG16"/>
  <c r="AH16" s="1"/>
  <c r="Y18" i="8"/>
  <c r="Z18" s="1"/>
  <c r="H18"/>
  <c r="I18" s="1"/>
  <c r="AB17" i="6"/>
  <c r="AH17"/>
  <c r="AD17"/>
  <c r="V16"/>
  <c r="W16" s="1"/>
  <c r="R16"/>
  <c r="S16" s="1"/>
  <c r="AK13"/>
  <c r="O17"/>
  <c r="U17"/>
  <c r="Q17"/>
  <c r="X15"/>
  <c r="Y15"/>
  <c r="AL13"/>
  <c r="AA18"/>
  <c r="N18"/>
  <c r="J16" l="1"/>
  <c r="AE16"/>
  <c r="AI16"/>
  <c r="AJ16" s="1"/>
  <c r="AN11" i="8"/>
  <c r="AJ11"/>
  <c r="T16" i="10"/>
  <c r="N16"/>
  <c r="M17" i="14"/>
  <c r="AD9"/>
  <c r="AI9"/>
  <c r="AC18"/>
  <c r="L18"/>
  <c r="P18"/>
  <c r="K18"/>
  <c r="H19"/>
  <c r="I19" s="1"/>
  <c r="Y19"/>
  <c r="Z19" s="1"/>
  <c r="AH19" s="1"/>
  <c r="R14"/>
  <c r="Q15" s="1"/>
  <c r="U14"/>
  <c r="T14"/>
  <c r="AN8" i="13"/>
  <c r="AA9" s="1"/>
  <c r="M14"/>
  <c r="L15" s="1"/>
  <c r="T14"/>
  <c r="R14"/>
  <c r="Q15" s="1"/>
  <c r="U14"/>
  <c r="AC18"/>
  <c r="K18"/>
  <c r="H19"/>
  <c r="I19"/>
  <c r="P19" s="1"/>
  <c r="Y19"/>
  <c r="Z19"/>
  <c r="AH19" s="1"/>
  <c r="AA17" i="12"/>
  <c r="AJ13"/>
  <c r="AK13" s="1"/>
  <c r="AM13"/>
  <c r="AE13"/>
  <c r="AF13" s="1"/>
  <c r="AL13"/>
  <c r="W12"/>
  <c r="V12"/>
  <c r="Q13"/>
  <c r="K19"/>
  <c r="L17"/>
  <c r="M17" s="1"/>
  <c r="N17" s="1"/>
  <c r="I20"/>
  <c r="H20"/>
  <c r="Y20"/>
  <c r="AC17"/>
  <c r="Z18"/>
  <c r="R15" i="8"/>
  <c r="AH12"/>
  <c r="AC12"/>
  <c r="AM11"/>
  <c r="AB18"/>
  <c r="K18"/>
  <c r="AJ16" i="10"/>
  <c r="Q18"/>
  <c r="R18" s="1"/>
  <c r="S18" s="1"/>
  <c r="K18"/>
  <c r="L17"/>
  <c r="M17" s="1"/>
  <c r="I20"/>
  <c r="H20"/>
  <c r="X20"/>
  <c r="W20"/>
  <c r="U16"/>
  <c r="AI16"/>
  <c r="AG17"/>
  <c r="AH17" s="1"/>
  <c r="AF18"/>
  <c r="Z18"/>
  <c r="AA17"/>
  <c r="AB17" s="1"/>
  <c r="AC17" s="1"/>
  <c r="AI17" i="6"/>
  <c r="AJ17"/>
  <c r="H19" i="8"/>
  <c r="I19" s="1"/>
  <c r="Y19"/>
  <c r="Z19" s="1"/>
  <c r="AF17" i="6"/>
  <c r="AH18"/>
  <c r="AD18"/>
  <c r="R17"/>
  <c r="S17" s="1"/>
  <c r="V17"/>
  <c r="W17" s="1"/>
  <c r="O18"/>
  <c r="U18"/>
  <c r="Q18"/>
  <c r="X16"/>
  <c r="Y16"/>
  <c r="AL14"/>
  <c r="AJ14"/>
  <c r="AA19"/>
  <c r="AB18"/>
  <c r="N19"/>
  <c r="K16" l="1"/>
  <c r="J17"/>
  <c r="AE17"/>
  <c r="K17" s="1"/>
  <c r="AF16"/>
  <c r="N17" i="14"/>
  <c r="R15"/>
  <c r="Q16" s="1"/>
  <c r="U15"/>
  <c r="T15"/>
  <c r="T17" i="10"/>
  <c r="N17"/>
  <c r="M18" i="14"/>
  <c r="AJ9"/>
  <c r="AM9"/>
  <c r="AE9"/>
  <c r="AN9" s="1"/>
  <c r="AL9"/>
  <c r="P19"/>
  <c r="K19"/>
  <c r="N19"/>
  <c r="L19"/>
  <c r="M19" s="1"/>
  <c r="AC19"/>
  <c r="W14"/>
  <c r="S14"/>
  <c r="V14"/>
  <c r="Y20"/>
  <c r="Z20" s="1"/>
  <c r="AH20" s="1"/>
  <c r="I20"/>
  <c r="H20"/>
  <c r="R15" i="13"/>
  <c r="S15" s="1"/>
  <c r="U15"/>
  <c r="M15"/>
  <c r="N15" s="1"/>
  <c r="T15"/>
  <c r="AI9"/>
  <c r="AD9"/>
  <c r="W14"/>
  <c r="S14"/>
  <c r="N14"/>
  <c r="V14"/>
  <c r="AC19"/>
  <c r="K19"/>
  <c r="Z20"/>
  <c r="AH20" s="1"/>
  <c r="Y20"/>
  <c r="I20"/>
  <c r="P20" s="1"/>
  <c r="H20"/>
  <c r="AA18" i="12"/>
  <c r="AD14"/>
  <c r="AI14"/>
  <c r="AN13"/>
  <c r="AO13"/>
  <c r="R13"/>
  <c r="S13" s="1"/>
  <c r="T13"/>
  <c r="U13"/>
  <c r="Y21"/>
  <c r="I21"/>
  <c r="H21"/>
  <c r="L18"/>
  <c r="AC18"/>
  <c r="Z19"/>
  <c r="K20"/>
  <c r="S15" i="8"/>
  <c r="Q16"/>
  <c r="AI12"/>
  <c r="AJ12" s="1"/>
  <c r="AL12"/>
  <c r="AD12"/>
  <c r="AE12" s="1"/>
  <c r="AK12"/>
  <c r="AB19"/>
  <c r="K19"/>
  <c r="U17" i="10"/>
  <c r="AI17"/>
  <c r="X21"/>
  <c r="W21"/>
  <c r="I21"/>
  <c r="H21"/>
  <c r="AG18"/>
  <c r="AH18" s="1"/>
  <c r="AF19"/>
  <c r="Z19"/>
  <c r="AA18"/>
  <c r="AB18" s="1"/>
  <c r="AC18" s="1"/>
  <c r="Q19"/>
  <c r="R19" s="1"/>
  <c r="S19" s="1"/>
  <c r="K19"/>
  <c r="L18"/>
  <c r="M18" s="1"/>
  <c r="AJ17"/>
  <c r="O19" i="6"/>
  <c r="AE18"/>
  <c r="AB19"/>
  <c r="Y20" i="8"/>
  <c r="Z20" s="1"/>
  <c r="H20"/>
  <c r="I20" s="1"/>
  <c r="Y17" i="6"/>
  <c r="AH19"/>
  <c r="AD19"/>
  <c r="V18"/>
  <c r="W18" s="1"/>
  <c r="R18"/>
  <c r="U19"/>
  <c r="Q19"/>
  <c r="X17"/>
  <c r="AK14"/>
  <c r="AF15" s="1"/>
  <c r="AF14"/>
  <c r="N20"/>
  <c r="AJ18"/>
  <c r="AF18"/>
  <c r="AA20"/>
  <c r="AI18" l="1"/>
  <c r="K18" s="1"/>
  <c r="J18"/>
  <c r="N18" i="14"/>
  <c r="R16"/>
  <c r="Q17" s="1"/>
  <c r="U16"/>
  <c r="T16"/>
  <c r="W15"/>
  <c r="S15"/>
  <c r="V15"/>
  <c r="T18" i="10"/>
  <c r="N18"/>
  <c r="AA10" i="14"/>
  <c r="AI10" s="1"/>
  <c r="AO9"/>
  <c r="AC20"/>
  <c r="L20"/>
  <c r="P20"/>
  <c r="K20"/>
  <c r="H21"/>
  <c r="I21" s="1"/>
  <c r="Y21"/>
  <c r="Z21" s="1"/>
  <c r="AH21" s="1"/>
  <c r="V15" i="13"/>
  <c r="L16"/>
  <c r="W15"/>
  <c r="Q16"/>
  <c r="AJ9"/>
  <c r="AM9"/>
  <c r="AL9"/>
  <c r="AE9"/>
  <c r="H21"/>
  <c r="I21"/>
  <c r="P21" s="1"/>
  <c r="Y21"/>
  <c r="Z21"/>
  <c r="AH21" s="1"/>
  <c r="K20"/>
  <c r="AC20"/>
  <c r="AA19" i="12"/>
  <c r="AM14"/>
  <c r="AJ14"/>
  <c r="AL14"/>
  <c r="AE14"/>
  <c r="W13"/>
  <c r="V13"/>
  <c r="Q14"/>
  <c r="K21"/>
  <c r="AC19"/>
  <c r="Z20"/>
  <c r="M18"/>
  <c r="N18" s="1"/>
  <c r="I22"/>
  <c r="H22"/>
  <c r="Y22"/>
  <c r="R16" i="8"/>
  <c r="AC13"/>
  <c r="AM12"/>
  <c r="AH13"/>
  <c r="AN12"/>
  <c r="AB20"/>
  <c r="K20"/>
  <c r="AI18" i="10"/>
  <c r="Q20"/>
  <c r="R20" s="1"/>
  <c r="K20"/>
  <c r="L19"/>
  <c r="M19" s="1"/>
  <c r="AG19"/>
  <c r="AH19" s="1"/>
  <c r="AJ18"/>
  <c r="AF20"/>
  <c r="Z20"/>
  <c r="AA19"/>
  <c r="AB19" s="1"/>
  <c r="H22"/>
  <c r="I22" s="1"/>
  <c r="W22"/>
  <c r="X22" s="1"/>
  <c r="U19"/>
  <c r="U18"/>
  <c r="AB20" i="6"/>
  <c r="X18"/>
  <c r="S18"/>
  <c r="AI19"/>
  <c r="AE19"/>
  <c r="H21" i="8"/>
  <c r="I21" s="1"/>
  <c r="Y21"/>
  <c r="Z21" s="1"/>
  <c r="AH20" i="6"/>
  <c r="AD20"/>
  <c r="AJ15"/>
  <c r="V19"/>
  <c r="W19" s="1"/>
  <c r="R19"/>
  <c r="S19" s="1"/>
  <c r="Y18"/>
  <c r="U20"/>
  <c r="Q20"/>
  <c r="AA21"/>
  <c r="N21"/>
  <c r="O20"/>
  <c r="K19" l="1"/>
  <c r="J19"/>
  <c r="T17" i="14"/>
  <c r="U17"/>
  <c r="R17"/>
  <c r="Q18" s="1"/>
  <c r="W16"/>
  <c r="S16"/>
  <c r="V16"/>
  <c r="Q17" i="8"/>
  <c r="S16"/>
  <c r="T19" i="10"/>
  <c r="N19"/>
  <c r="AI19"/>
  <c r="AC19"/>
  <c r="AD15" i="12"/>
  <c r="AE15" s="1"/>
  <c r="AF15" s="1"/>
  <c r="AN9" i="13"/>
  <c r="AA10" s="1"/>
  <c r="AI10" s="1"/>
  <c r="M20" i="14"/>
  <c r="AD10"/>
  <c r="AM10" s="1"/>
  <c r="AJ10"/>
  <c r="P21"/>
  <c r="K21"/>
  <c r="L21"/>
  <c r="AC21"/>
  <c r="Z22"/>
  <c r="AH22" s="1"/>
  <c r="Y22"/>
  <c r="I22"/>
  <c r="H22"/>
  <c r="U16" i="13"/>
  <c r="R16"/>
  <c r="S16" s="1"/>
  <c r="M16"/>
  <c r="N16" s="1"/>
  <c r="T16"/>
  <c r="AO9"/>
  <c r="Y22"/>
  <c r="Z22" s="1"/>
  <c r="AH22" s="1"/>
  <c r="H22"/>
  <c r="I22" s="1"/>
  <c r="P22" s="1"/>
  <c r="AC21"/>
  <c r="K21"/>
  <c r="AI15" i="12"/>
  <c r="AM15" s="1"/>
  <c r="AA20"/>
  <c r="AF14"/>
  <c r="AN14"/>
  <c r="AK14"/>
  <c r="AO14"/>
  <c r="T14"/>
  <c r="R14"/>
  <c r="S14" s="1"/>
  <c r="U14"/>
  <c r="K22"/>
  <c r="L19"/>
  <c r="Y23"/>
  <c r="I23"/>
  <c r="H23"/>
  <c r="AC20"/>
  <c r="Z21"/>
  <c r="R17" i="8"/>
  <c r="S17" s="1"/>
  <c r="AI13"/>
  <c r="AJ13" s="1"/>
  <c r="AL13"/>
  <c r="AD13"/>
  <c r="AE13" s="1"/>
  <c r="AK13"/>
  <c r="AB21"/>
  <c r="K21"/>
  <c r="AF21" i="10"/>
  <c r="Z21"/>
  <c r="AA21" s="1"/>
  <c r="AA20"/>
  <c r="AB20" s="1"/>
  <c r="S20"/>
  <c r="W23"/>
  <c r="X23" s="1"/>
  <c r="I23"/>
  <c r="H23"/>
  <c r="Q21"/>
  <c r="R21" s="1"/>
  <c r="S21" s="1"/>
  <c r="K21"/>
  <c r="L21" s="1"/>
  <c r="L20"/>
  <c r="M20" s="1"/>
  <c r="AG20"/>
  <c r="AJ19"/>
  <c r="AE20" i="6"/>
  <c r="AF20" s="1"/>
  <c r="AI20"/>
  <c r="AJ20" s="1"/>
  <c r="Y19"/>
  <c r="Y22" i="8"/>
  <c r="Z22" s="1"/>
  <c r="H22"/>
  <c r="I22" s="1"/>
  <c r="AK15" i="6"/>
  <c r="X19"/>
  <c r="AB21"/>
  <c r="AH21"/>
  <c r="AD21"/>
  <c r="AL15"/>
  <c r="R20"/>
  <c r="S20" s="1"/>
  <c r="V20"/>
  <c r="W20" s="1"/>
  <c r="U21"/>
  <c r="Q21"/>
  <c r="O21"/>
  <c r="N22"/>
  <c r="AA22"/>
  <c r="K20" l="1"/>
  <c r="J20"/>
  <c r="AD10" i="13"/>
  <c r="M21" i="14"/>
  <c r="N21" s="1"/>
  <c r="N20"/>
  <c r="R18"/>
  <c r="Q19" s="1"/>
  <c r="U18"/>
  <c r="T18"/>
  <c r="S17"/>
  <c r="W17"/>
  <c r="V17"/>
  <c r="AL15" i="12"/>
  <c r="AL10" i="14"/>
  <c r="AE10"/>
  <c r="AN10" s="1"/>
  <c r="AA11" s="1"/>
  <c r="H23"/>
  <c r="I23"/>
  <c r="Y23"/>
  <c r="Z23"/>
  <c r="AH23" s="1"/>
  <c r="P22"/>
  <c r="K22"/>
  <c r="AC22"/>
  <c r="V16" i="13"/>
  <c r="L17"/>
  <c r="W16"/>
  <c r="Q17"/>
  <c r="AJ15" i="12"/>
  <c r="AJ10" i="13"/>
  <c r="AM10"/>
  <c r="AL10"/>
  <c r="AE10"/>
  <c r="AC22"/>
  <c r="K22"/>
  <c r="H23"/>
  <c r="I23" s="1"/>
  <c r="P23" s="1"/>
  <c r="Y23"/>
  <c r="Z23" s="1"/>
  <c r="AH23" s="1"/>
  <c r="AA21" i="12"/>
  <c r="AI16"/>
  <c r="W14"/>
  <c r="V14"/>
  <c r="Q15"/>
  <c r="AC21"/>
  <c r="Z22"/>
  <c r="K23"/>
  <c r="M19"/>
  <c r="N19" s="1"/>
  <c r="I24"/>
  <c r="H24"/>
  <c r="Y24"/>
  <c r="Q18" i="8"/>
  <c r="AH14"/>
  <c r="AC14"/>
  <c r="AM13"/>
  <c r="AN13"/>
  <c r="AB22"/>
  <c r="K22"/>
  <c r="M21" i="10"/>
  <c r="AG21"/>
  <c r="AH21" s="1"/>
  <c r="U21"/>
  <c r="AB21"/>
  <c r="AJ20"/>
  <c r="AH20"/>
  <c r="Q22"/>
  <c r="R22" s="1"/>
  <c r="S22" s="1"/>
  <c r="K22"/>
  <c r="L22" s="1"/>
  <c r="H24"/>
  <c r="I24"/>
  <c r="AC20"/>
  <c r="AI20"/>
  <c r="N20"/>
  <c r="T20"/>
  <c r="W24"/>
  <c r="X24"/>
  <c r="AF22"/>
  <c r="Z22"/>
  <c r="AA22" s="1"/>
  <c r="AB22" s="1"/>
  <c r="AC22" s="1"/>
  <c r="U20"/>
  <c r="Y20" i="6"/>
  <c r="AI21"/>
  <c r="AJ21" s="1"/>
  <c r="AE21"/>
  <c r="AF21" s="1"/>
  <c r="H23" i="8"/>
  <c r="I23" s="1"/>
  <c r="Y23"/>
  <c r="Z23" s="1"/>
  <c r="AB22" i="6"/>
  <c r="AH22"/>
  <c r="AD22"/>
  <c r="AL16"/>
  <c r="AK16"/>
  <c r="R21"/>
  <c r="V21"/>
  <c r="W21" s="1"/>
  <c r="O22"/>
  <c r="U22"/>
  <c r="Q22"/>
  <c r="X20"/>
  <c r="AA23"/>
  <c r="N23"/>
  <c r="S21"/>
  <c r="L22" i="14" l="1"/>
  <c r="J21" i="6"/>
  <c r="K21"/>
  <c r="R19" i="14"/>
  <c r="Q20" s="1"/>
  <c r="T19"/>
  <c r="U19"/>
  <c r="S18"/>
  <c r="V18"/>
  <c r="W18"/>
  <c r="T21" i="10"/>
  <c r="N21"/>
  <c r="AI21"/>
  <c r="AC21"/>
  <c r="AO15" i="12"/>
  <c r="AK15"/>
  <c r="M22" i="14"/>
  <c r="L23" s="1"/>
  <c r="AD11"/>
  <c r="AI11"/>
  <c r="AO10"/>
  <c r="Y24"/>
  <c r="Z24" s="1"/>
  <c r="AH24" s="1"/>
  <c r="H24"/>
  <c r="I24" s="1"/>
  <c r="AC23"/>
  <c r="P23"/>
  <c r="K23"/>
  <c r="AN10" i="13"/>
  <c r="AA11" s="1"/>
  <c r="AD11" s="1"/>
  <c r="R17"/>
  <c r="S17" s="1"/>
  <c r="U17"/>
  <c r="M17"/>
  <c r="N17" s="1"/>
  <c r="T17"/>
  <c r="AN15" i="12"/>
  <c r="AD16"/>
  <c r="AL16" s="1"/>
  <c r="AO10" i="13"/>
  <c r="AC23"/>
  <c r="K23"/>
  <c r="Z24"/>
  <c r="AH24" s="1"/>
  <c r="Y24"/>
  <c r="I24"/>
  <c r="P24" s="1"/>
  <c r="H24"/>
  <c r="AA22" i="12"/>
  <c r="AJ16"/>
  <c r="AK16" s="1"/>
  <c r="R15"/>
  <c r="S15" s="1"/>
  <c r="U15"/>
  <c r="T15"/>
  <c r="K24"/>
  <c r="L20"/>
  <c r="Y25"/>
  <c r="I25"/>
  <c r="H25"/>
  <c r="AC22"/>
  <c r="Z23"/>
  <c r="R18" i="8"/>
  <c r="S18" s="1"/>
  <c r="AI14"/>
  <c r="AL14"/>
  <c r="AD14"/>
  <c r="AK14"/>
  <c r="AB23"/>
  <c r="K23"/>
  <c r="M22" i="10"/>
  <c r="U22" s="1"/>
  <c r="AG22"/>
  <c r="AJ21"/>
  <c r="W25"/>
  <c r="H25"/>
  <c r="AF23"/>
  <c r="Z23"/>
  <c r="AA23" s="1"/>
  <c r="Q23"/>
  <c r="R23" s="1"/>
  <c r="S23" s="1"/>
  <c r="K23"/>
  <c r="L23" s="1"/>
  <c r="X21" i="6"/>
  <c r="AE22"/>
  <c r="AF22" s="1"/>
  <c r="AI22"/>
  <c r="AJ22" s="1"/>
  <c r="Y24" i="8"/>
  <c r="Z24" s="1"/>
  <c r="H24"/>
  <c r="I24" s="1"/>
  <c r="O23" i="6"/>
  <c r="AB23"/>
  <c r="AH23"/>
  <c r="AD23"/>
  <c r="AK17"/>
  <c r="R22"/>
  <c r="S22" s="1"/>
  <c r="V22"/>
  <c r="W22" s="1"/>
  <c r="U23"/>
  <c r="Q23"/>
  <c r="Y21"/>
  <c r="N24"/>
  <c r="AA24"/>
  <c r="J22" l="1"/>
  <c r="K22"/>
  <c r="AB23" i="10"/>
  <c r="AC23" s="1"/>
  <c r="M23" i="14"/>
  <c r="N23" s="1"/>
  <c r="N22"/>
  <c r="T20"/>
  <c r="R20"/>
  <c r="Q21" s="1"/>
  <c r="U20"/>
  <c r="S19"/>
  <c r="V19"/>
  <c r="W19"/>
  <c r="AM14" i="8"/>
  <c r="AI22" i="10"/>
  <c r="AH22"/>
  <c r="T22"/>
  <c r="N22"/>
  <c r="AM16" i="12"/>
  <c r="AE16"/>
  <c r="AF16" s="1"/>
  <c r="AI11" i="13"/>
  <c r="AM11" s="1"/>
  <c r="AM11" i="14"/>
  <c r="AJ11"/>
  <c r="AL11"/>
  <c r="AE11"/>
  <c r="AN11" s="1"/>
  <c r="AA12" s="1"/>
  <c r="AC24"/>
  <c r="P24"/>
  <c r="K24"/>
  <c r="H25"/>
  <c r="I25" s="1"/>
  <c r="Y25"/>
  <c r="Z25" s="1"/>
  <c r="AH25" s="1"/>
  <c r="V17" i="13"/>
  <c r="L18"/>
  <c r="W17"/>
  <c r="Q18"/>
  <c r="AE11"/>
  <c r="H25"/>
  <c r="I25"/>
  <c r="P25" s="1"/>
  <c r="Y25"/>
  <c r="Z25"/>
  <c r="AH25" s="1"/>
  <c r="K24"/>
  <c r="AC24"/>
  <c r="AA23" i="12"/>
  <c r="Q16"/>
  <c r="W15"/>
  <c r="V15"/>
  <c r="AC23"/>
  <c r="Z24"/>
  <c r="K25"/>
  <c r="I26"/>
  <c r="H26"/>
  <c r="Y26"/>
  <c r="M20"/>
  <c r="N20" s="1"/>
  <c r="Q19" i="8"/>
  <c r="AE14"/>
  <c r="AC15"/>
  <c r="AH15"/>
  <c r="AJ14"/>
  <c r="AN14"/>
  <c r="AB24"/>
  <c r="K24"/>
  <c r="M23" i="10"/>
  <c r="AG23"/>
  <c r="AJ22"/>
  <c r="H26"/>
  <c r="W26"/>
  <c r="Q24"/>
  <c r="R24" s="1"/>
  <c r="S24" s="1"/>
  <c r="K24"/>
  <c r="L24" s="1"/>
  <c r="AF24"/>
  <c r="Z24"/>
  <c r="AA24" s="1"/>
  <c r="I25"/>
  <c r="X25"/>
  <c r="AI23" i="6"/>
  <c r="AJ23" s="1"/>
  <c r="AE23"/>
  <c r="AF23" s="1"/>
  <c r="H25" i="8"/>
  <c r="I25" s="1"/>
  <c r="Y25"/>
  <c r="Z25" s="1"/>
  <c r="O24" i="6"/>
  <c r="R23"/>
  <c r="V23"/>
  <c r="W23" s="1"/>
  <c r="X22"/>
  <c r="AB24"/>
  <c r="AH24"/>
  <c r="AD24"/>
  <c r="AL17"/>
  <c r="U24"/>
  <c r="Q24"/>
  <c r="AA25"/>
  <c r="N25"/>
  <c r="Y22"/>
  <c r="L24" i="14" l="1"/>
  <c r="J23" i="6"/>
  <c r="K23"/>
  <c r="O25"/>
  <c r="AJ11" i="13"/>
  <c r="AO11" s="1"/>
  <c r="R21" i="14"/>
  <c r="Q22" s="1"/>
  <c r="T21"/>
  <c r="U21"/>
  <c r="S20"/>
  <c r="W20"/>
  <c r="V20"/>
  <c r="U23" i="10"/>
  <c r="N23"/>
  <c r="AJ23"/>
  <c r="AH23"/>
  <c r="AN16" i="12"/>
  <c r="AO16"/>
  <c r="AD17"/>
  <c r="AI17"/>
  <c r="AJ17" s="1"/>
  <c r="AK17" s="1"/>
  <c r="AL11" i="13"/>
  <c r="M24" i="14"/>
  <c r="N24" s="1"/>
  <c r="AD12"/>
  <c r="AI12"/>
  <c r="AO11"/>
  <c r="AC25"/>
  <c r="P25"/>
  <c r="K25"/>
  <c r="Y26"/>
  <c r="Z26" s="1"/>
  <c r="AH26" s="1"/>
  <c r="H26"/>
  <c r="I26" s="1"/>
  <c r="R18" i="13"/>
  <c r="S18" s="1"/>
  <c r="U18"/>
  <c r="M18"/>
  <c r="N18" s="1"/>
  <c r="T18"/>
  <c r="Z26"/>
  <c r="AH26" s="1"/>
  <c r="Y26"/>
  <c r="I26"/>
  <c r="P26" s="1"/>
  <c r="H26"/>
  <c r="AC25"/>
  <c r="K25"/>
  <c r="AA24" i="12"/>
  <c r="AE17"/>
  <c r="AF17" s="1"/>
  <c r="R16"/>
  <c r="S16" s="1"/>
  <c r="T16"/>
  <c r="U16"/>
  <c r="Y27"/>
  <c r="I27"/>
  <c r="H27"/>
  <c r="AC24"/>
  <c r="Z25"/>
  <c r="L21"/>
  <c r="K26"/>
  <c r="R19" i="8"/>
  <c r="S19" s="1"/>
  <c r="M24" i="10"/>
  <c r="N24" s="1"/>
  <c r="T23"/>
  <c r="AL15" i="8"/>
  <c r="AI15"/>
  <c r="AD15"/>
  <c r="AK15"/>
  <c r="AB25"/>
  <c r="K25"/>
  <c r="AG24" i="10"/>
  <c r="AH24" s="1"/>
  <c r="AB24"/>
  <c r="AC24" s="1"/>
  <c r="AI23"/>
  <c r="W27"/>
  <c r="H27"/>
  <c r="AF25"/>
  <c r="Z25"/>
  <c r="AA25" s="1"/>
  <c r="Q25"/>
  <c r="R25" s="1"/>
  <c r="S25" s="1"/>
  <c r="K25"/>
  <c r="L25" s="1"/>
  <c r="M25" s="1"/>
  <c r="N25" s="1"/>
  <c r="X26"/>
  <c r="X27" s="1"/>
  <c r="I26"/>
  <c r="AB25" i="6"/>
  <c r="Y23"/>
  <c r="S23"/>
  <c r="X23"/>
  <c r="V24"/>
  <c r="W24" s="1"/>
  <c r="R24"/>
  <c r="S24" s="1"/>
  <c r="AE24"/>
  <c r="AF24" s="1"/>
  <c r="AI24"/>
  <c r="AJ24" s="1"/>
  <c r="Y26" i="8"/>
  <c r="Z26" s="1"/>
  <c r="H26"/>
  <c r="I26" s="1"/>
  <c r="AH25" i="6"/>
  <c r="AD25"/>
  <c r="U25"/>
  <c r="Q25"/>
  <c r="N26"/>
  <c r="O26" s="1"/>
  <c r="AA26"/>
  <c r="AN11" i="13" l="1"/>
  <c r="AA12" s="1"/>
  <c r="J24" i="6"/>
  <c r="K24"/>
  <c r="L25" i="14"/>
  <c r="M25" s="1"/>
  <c r="N25" s="1"/>
  <c r="R22"/>
  <c r="Q23" s="1"/>
  <c r="T22"/>
  <c r="U22"/>
  <c r="S21"/>
  <c r="V21"/>
  <c r="W21"/>
  <c r="AM17" i="12"/>
  <c r="AG25" i="10"/>
  <c r="AH25" s="1"/>
  <c r="AL17" i="12"/>
  <c r="T24" i="10"/>
  <c r="U24"/>
  <c r="AJ12" i="14"/>
  <c r="AM12"/>
  <c r="AE12"/>
  <c r="AN12" s="1"/>
  <c r="AA13" s="1"/>
  <c r="AL12"/>
  <c r="L26"/>
  <c r="P26"/>
  <c r="K26"/>
  <c r="AC26"/>
  <c r="H27"/>
  <c r="I27" s="1"/>
  <c r="Y27"/>
  <c r="Z27" s="1"/>
  <c r="AH27" s="1"/>
  <c r="V18" i="13"/>
  <c r="L19"/>
  <c r="W18"/>
  <c r="Q19"/>
  <c r="K26"/>
  <c r="AC26"/>
  <c r="H27"/>
  <c r="I27"/>
  <c r="P27" s="1"/>
  <c r="Y27"/>
  <c r="Z27"/>
  <c r="AH27" s="1"/>
  <c r="AA25" i="12"/>
  <c r="AI18"/>
  <c r="AO17"/>
  <c r="AD18"/>
  <c r="AN17"/>
  <c r="Q17"/>
  <c r="W16"/>
  <c r="V16"/>
  <c r="AC25"/>
  <c r="Z26"/>
  <c r="K27"/>
  <c r="AI24" i="10"/>
  <c r="AJ24"/>
  <c r="M21" i="12"/>
  <c r="N21" s="1"/>
  <c r="I28"/>
  <c r="H28"/>
  <c r="Y28"/>
  <c r="AH16" i="8"/>
  <c r="AC16"/>
  <c r="Q20"/>
  <c r="AJ15"/>
  <c r="AN15"/>
  <c r="AE15"/>
  <c r="AM15"/>
  <c r="AB26"/>
  <c r="K26"/>
  <c r="AB26" i="6"/>
  <c r="AB27" s="1"/>
  <c r="AB25" i="10"/>
  <c r="AC25" s="1"/>
  <c r="U25"/>
  <c r="T25"/>
  <c r="H28"/>
  <c r="W28"/>
  <c r="X28" s="1"/>
  <c r="Q26"/>
  <c r="R26" s="1"/>
  <c r="K26"/>
  <c r="L26" s="1"/>
  <c r="M26" s="1"/>
  <c r="N26" s="1"/>
  <c r="AF26"/>
  <c r="Z26"/>
  <c r="AA26" s="1"/>
  <c r="I27"/>
  <c r="X24" i="6"/>
  <c r="V25"/>
  <c r="W25" s="1"/>
  <c r="Y24"/>
  <c r="R25"/>
  <c r="S25" s="1"/>
  <c r="AI25"/>
  <c r="AJ25" s="1"/>
  <c r="AE25"/>
  <c r="AF25" s="1"/>
  <c r="H27" i="8"/>
  <c r="I27" s="1"/>
  <c r="Y27"/>
  <c r="Z27" s="1"/>
  <c r="AH26" i="6"/>
  <c r="AD26"/>
  <c r="AK18"/>
  <c r="AL18"/>
  <c r="U26"/>
  <c r="Q26"/>
  <c r="AA27"/>
  <c r="O27"/>
  <c r="N27"/>
  <c r="K25" l="1"/>
  <c r="J25"/>
  <c r="T23" i="14"/>
  <c r="R23"/>
  <c r="Q24" s="1"/>
  <c r="U23"/>
  <c r="S22"/>
  <c r="W22"/>
  <c r="V22"/>
  <c r="AI25" i="10"/>
  <c r="AJ25"/>
  <c r="AG26"/>
  <c r="AH26" s="1"/>
  <c r="M26" i="14"/>
  <c r="L27" s="1"/>
  <c r="AD13"/>
  <c r="AE13" s="1"/>
  <c r="AI13"/>
  <c r="AJ13" s="1"/>
  <c r="AO12"/>
  <c r="AC27"/>
  <c r="P27"/>
  <c r="K27"/>
  <c r="Z28"/>
  <c r="AH28" s="1"/>
  <c r="Y28"/>
  <c r="I28"/>
  <c r="H28"/>
  <c r="R19" i="13"/>
  <c r="S19" s="1"/>
  <c r="U19"/>
  <c r="M19"/>
  <c r="N19" s="1"/>
  <c r="T19"/>
  <c r="AI12"/>
  <c r="AD12"/>
  <c r="AC27"/>
  <c r="K27"/>
  <c r="Z28"/>
  <c r="AH28" s="1"/>
  <c r="Y28"/>
  <c r="I28"/>
  <c r="P28" s="1"/>
  <c r="H28"/>
  <c r="AA26" i="12"/>
  <c r="AE18"/>
  <c r="AF18" s="1"/>
  <c r="AL18"/>
  <c r="AM18"/>
  <c r="AJ18"/>
  <c r="AK18" s="1"/>
  <c r="R17"/>
  <c r="S17" s="1"/>
  <c r="U17"/>
  <c r="T17"/>
  <c r="K28"/>
  <c r="L22"/>
  <c r="AC26"/>
  <c r="Z27"/>
  <c r="Y29"/>
  <c r="I29"/>
  <c r="H29"/>
  <c r="R20" i="8"/>
  <c r="Q21" s="1"/>
  <c r="AL16"/>
  <c r="AI16"/>
  <c r="AJ16" s="1"/>
  <c r="AD16"/>
  <c r="AE16" s="1"/>
  <c r="AK16"/>
  <c r="AB27"/>
  <c r="K27"/>
  <c r="U26" i="10"/>
  <c r="AB26"/>
  <c r="AC26" s="1"/>
  <c r="S26"/>
  <c r="AJ26"/>
  <c r="T26"/>
  <c r="W29"/>
  <c r="X29" s="1"/>
  <c r="H29"/>
  <c r="AF27"/>
  <c r="Z27"/>
  <c r="AA27" s="1"/>
  <c r="Q27"/>
  <c r="R27" s="1"/>
  <c r="S27" s="1"/>
  <c r="K27"/>
  <c r="L27" s="1"/>
  <c r="M27" s="1"/>
  <c r="N27" s="1"/>
  <c r="I28"/>
  <c r="I29" s="1"/>
  <c r="X25" i="6"/>
  <c r="V26"/>
  <c r="W26" s="1"/>
  <c r="Y25"/>
  <c r="R26"/>
  <c r="X26" s="1"/>
  <c r="AE26"/>
  <c r="AI26"/>
  <c r="AJ26" s="1"/>
  <c r="Y28" i="8"/>
  <c r="Z28" s="1"/>
  <c r="H28"/>
  <c r="I28" s="1"/>
  <c r="AH27" i="6"/>
  <c r="AD27"/>
  <c r="AF19"/>
  <c r="AK19"/>
  <c r="AL19"/>
  <c r="AJ19"/>
  <c r="U27"/>
  <c r="Q27"/>
  <c r="N28"/>
  <c r="O28" s="1"/>
  <c r="AA28"/>
  <c r="AF26" l="1"/>
  <c r="K26"/>
  <c r="S26"/>
  <c r="J26"/>
  <c r="N26" i="14"/>
  <c r="R24"/>
  <c r="Q25" s="1"/>
  <c r="U24"/>
  <c r="T24"/>
  <c r="W23"/>
  <c r="S23"/>
  <c r="V23"/>
  <c r="AL13"/>
  <c r="AM13"/>
  <c r="M27"/>
  <c r="AO13"/>
  <c r="H29"/>
  <c r="I29"/>
  <c r="Y29"/>
  <c r="Z29"/>
  <c r="AH29" s="1"/>
  <c r="P28"/>
  <c r="K28"/>
  <c r="AC28"/>
  <c r="AN13"/>
  <c r="AA14" s="1"/>
  <c r="V19" i="13"/>
  <c r="L20"/>
  <c r="W19"/>
  <c r="Q20"/>
  <c r="AM12"/>
  <c r="AJ12"/>
  <c r="AE12"/>
  <c r="AL12"/>
  <c r="H29"/>
  <c r="I29"/>
  <c r="P29" s="1"/>
  <c r="Y29"/>
  <c r="Z29"/>
  <c r="AH29" s="1"/>
  <c r="K28"/>
  <c r="AC28"/>
  <c r="AI19" i="12"/>
  <c r="AO18"/>
  <c r="AA27"/>
  <c r="AD19"/>
  <c r="AN18"/>
  <c r="Q18"/>
  <c r="V17"/>
  <c r="W17"/>
  <c r="I30"/>
  <c r="H30"/>
  <c r="Y30"/>
  <c r="AC27"/>
  <c r="Z28"/>
  <c r="V27" i="6"/>
  <c r="W27" s="1"/>
  <c r="K29" i="12"/>
  <c r="M22"/>
  <c r="N22" s="1"/>
  <c r="R21" i="8"/>
  <c r="S21" s="1"/>
  <c r="AN16"/>
  <c r="AH17"/>
  <c r="AC17"/>
  <c r="AM16"/>
  <c r="S20"/>
  <c r="AB28"/>
  <c r="K28"/>
  <c r="AB27" i="10"/>
  <c r="AG27"/>
  <c r="AH27" s="1"/>
  <c r="AI26"/>
  <c r="AC27"/>
  <c r="T27"/>
  <c r="U27"/>
  <c r="H30"/>
  <c r="I30" s="1"/>
  <c r="W30"/>
  <c r="X30"/>
  <c r="Q28"/>
  <c r="R28" s="1"/>
  <c r="S28" s="1"/>
  <c r="K28"/>
  <c r="L28" s="1"/>
  <c r="M28" s="1"/>
  <c r="N28" s="1"/>
  <c r="AF28"/>
  <c r="Z28"/>
  <c r="AA28" s="1"/>
  <c r="R27" i="6"/>
  <c r="AE27"/>
  <c r="AI27"/>
  <c r="AJ27" s="1"/>
  <c r="H29" i="8"/>
  <c r="I29" s="1"/>
  <c r="Y29"/>
  <c r="Z29" s="1"/>
  <c r="AK20" i="6"/>
  <c r="AB28"/>
  <c r="AH28"/>
  <c r="AD28"/>
  <c r="U28"/>
  <c r="V28" s="1"/>
  <c r="W28" s="1"/>
  <c r="Q28"/>
  <c r="AA29"/>
  <c r="N29"/>
  <c r="O29" s="1"/>
  <c r="Y26"/>
  <c r="S27" l="1"/>
  <c r="J27"/>
  <c r="AF27"/>
  <c r="K27"/>
  <c r="L28" i="14"/>
  <c r="N27"/>
  <c r="U25"/>
  <c r="T25"/>
  <c r="R25"/>
  <c r="Q26" s="1"/>
  <c r="S24"/>
  <c r="W24"/>
  <c r="V24"/>
  <c r="AB28" i="10"/>
  <c r="AC28" s="1"/>
  <c r="AJ27"/>
  <c r="AI27"/>
  <c r="AO12" i="13"/>
  <c r="M28" i="14"/>
  <c r="N28" s="1"/>
  <c r="AD14"/>
  <c r="AI14"/>
  <c r="Y30"/>
  <c r="Z30" s="1"/>
  <c r="AH30" s="1"/>
  <c r="H30"/>
  <c r="I30" s="1"/>
  <c r="X27" i="6"/>
  <c r="R28"/>
  <c r="AC29" i="14"/>
  <c r="P29"/>
  <c r="K29"/>
  <c r="L29"/>
  <c r="R20" i="13"/>
  <c r="S20" s="1"/>
  <c r="U20"/>
  <c r="M20"/>
  <c r="N20" s="1"/>
  <c r="T20"/>
  <c r="AN12"/>
  <c r="AA13" s="1"/>
  <c r="Z30"/>
  <c r="AH30" s="1"/>
  <c r="Y30"/>
  <c r="I30"/>
  <c r="P30" s="1"/>
  <c r="H30"/>
  <c r="AC29"/>
  <c r="K29"/>
  <c r="AA28" i="12"/>
  <c r="AM19"/>
  <c r="AJ19"/>
  <c r="AE19"/>
  <c r="AL19"/>
  <c r="R18"/>
  <c r="S18" s="1"/>
  <c r="U18"/>
  <c r="T18"/>
  <c r="L23"/>
  <c r="Y31"/>
  <c r="I31"/>
  <c r="H31"/>
  <c r="AC28"/>
  <c r="Z29"/>
  <c r="K30"/>
  <c r="Q22" i="8"/>
  <c r="AL17"/>
  <c r="AI17"/>
  <c r="AJ17" s="1"/>
  <c r="AK17"/>
  <c r="AD17"/>
  <c r="AE17" s="1"/>
  <c r="AB29"/>
  <c r="K29"/>
  <c r="AG28" i="10"/>
  <c r="AH28" s="1"/>
  <c r="U28"/>
  <c r="T28"/>
  <c r="W31"/>
  <c r="X31" s="1"/>
  <c r="H31"/>
  <c r="I31"/>
  <c r="AF29"/>
  <c r="Z29"/>
  <c r="AA29" s="1"/>
  <c r="Q29"/>
  <c r="R29" s="1"/>
  <c r="K29"/>
  <c r="L29" s="1"/>
  <c r="M29" s="1"/>
  <c r="AB29" i="6"/>
  <c r="AE28"/>
  <c r="AI28"/>
  <c r="AJ28" s="1"/>
  <c r="Y30" i="8"/>
  <c r="Z30" s="1"/>
  <c r="H30"/>
  <c r="I30" s="1"/>
  <c r="AL20" i="6"/>
  <c r="AH29"/>
  <c r="AD29"/>
  <c r="U29"/>
  <c r="V29" s="1"/>
  <c r="Q29"/>
  <c r="R29" s="1"/>
  <c r="X28"/>
  <c r="Y28"/>
  <c r="Y27"/>
  <c r="N30"/>
  <c r="O30" s="1"/>
  <c r="AA30"/>
  <c r="M29" i="14" l="1"/>
  <c r="N29" s="1"/>
  <c r="J29" i="6"/>
  <c r="AF28"/>
  <c r="K28"/>
  <c r="S28"/>
  <c r="J28"/>
  <c r="R26" i="14"/>
  <c r="Q27" s="1"/>
  <c r="T26"/>
  <c r="U26"/>
  <c r="W25"/>
  <c r="S25"/>
  <c r="V25"/>
  <c r="AC30"/>
  <c r="L30"/>
  <c r="P30"/>
  <c r="K30"/>
  <c r="AM14"/>
  <c r="AJ14"/>
  <c r="AL14"/>
  <c r="AE14"/>
  <c r="H31"/>
  <c r="I31" s="1"/>
  <c r="Y31"/>
  <c r="Z31" s="1"/>
  <c r="AH31" s="1"/>
  <c r="V20" i="13"/>
  <c r="L21"/>
  <c r="W20"/>
  <c r="Q21"/>
  <c r="AD13"/>
  <c r="AI13"/>
  <c r="H31"/>
  <c r="I31"/>
  <c r="P31" s="1"/>
  <c r="Y31"/>
  <c r="Z31"/>
  <c r="AH31" s="1"/>
  <c r="K30"/>
  <c r="AC30"/>
  <c r="AI20" i="12"/>
  <c r="AD20"/>
  <c r="AA29"/>
  <c r="AK19"/>
  <c r="AO19"/>
  <c r="AF19"/>
  <c r="AN19"/>
  <c r="Q19"/>
  <c r="W18"/>
  <c r="V18"/>
  <c r="K31"/>
  <c r="M23"/>
  <c r="N23" s="1"/>
  <c r="AC29"/>
  <c r="Z30"/>
  <c r="I32"/>
  <c r="H32"/>
  <c r="Y32"/>
  <c r="R22" i="8"/>
  <c r="S22" s="1"/>
  <c r="AH18"/>
  <c r="AC18"/>
  <c r="AM17"/>
  <c r="AN17"/>
  <c r="AB30"/>
  <c r="K30"/>
  <c r="AB29" i="10"/>
  <c r="AC29" s="1"/>
  <c r="AI28"/>
  <c r="AG29"/>
  <c r="AH29" s="1"/>
  <c r="AJ28"/>
  <c r="T29"/>
  <c r="N29"/>
  <c r="U29"/>
  <c r="S29"/>
  <c r="H32"/>
  <c r="I32"/>
  <c r="W32"/>
  <c r="X32"/>
  <c r="Q30"/>
  <c r="R30" s="1"/>
  <c r="K30"/>
  <c r="L30" s="1"/>
  <c r="M30" s="1"/>
  <c r="AF30"/>
  <c r="Z30"/>
  <c r="AA30" s="1"/>
  <c r="AI29" i="6"/>
  <c r="AE29"/>
  <c r="H31" i="8"/>
  <c r="I31" s="1"/>
  <c r="Y31"/>
  <c r="Z31" s="1"/>
  <c r="AK21" i="6"/>
  <c r="AB30"/>
  <c r="AH30"/>
  <c r="AD30"/>
  <c r="U30"/>
  <c r="V30" s="1"/>
  <c r="Q30"/>
  <c r="R30" s="1"/>
  <c r="W29"/>
  <c r="AA31"/>
  <c r="O31"/>
  <c r="N31"/>
  <c r="W30"/>
  <c r="J30" l="1"/>
  <c r="K29"/>
  <c r="AJ29" i="10"/>
  <c r="AG30"/>
  <c r="AI29"/>
  <c r="T27" i="14"/>
  <c r="U27"/>
  <c r="R27"/>
  <c r="V26"/>
  <c r="W26"/>
  <c r="S26"/>
  <c r="M30"/>
  <c r="N30" s="1"/>
  <c r="P31"/>
  <c r="K31"/>
  <c r="AC31"/>
  <c r="AN14"/>
  <c r="AA15" s="1"/>
  <c r="AF14"/>
  <c r="AO14"/>
  <c r="AK14"/>
  <c r="Z32"/>
  <c r="AH32" s="1"/>
  <c r="Y32"/>
  <c r="I32"/>
  <c r="H32"/>
  <c r="R21" i="13"/>
  <c r="S21" s="1"/>
  <c r="U21"/>
  <c r="M21"/>
  <c r="N21" s="1"/>
  <c r="T21"/>
  <c r="AL13"/>
  <c r="AE13"/>
  <c r="AJ13"/>
  <c r="AM13"/>
  <c r="Z32"/>
  <c r="AH32" s="1"/>
  <c r="Y32"/>
  <c r="I32"/>
  <c r="P32" s="1"/>
  <c r="H32"/>
  <c r="AC31"/>
  <c r="K31"/>
  <c r="AJ20" i="12"/>
  <c r="AK20" s="1"/>
  <c r="AM20"/>
  <c r="AL20"/>
  <c r="AE20"/>
  <c r="AF20" s="1"/>
  <c r="AA30"/>
  <c r="R19"/>
  <c r="S19" s="1"/>
  <c r="U19"/>
  <c r="T19"/>
  <c r="K32"/>
  <c r="L24"/>
  <c r="Y33"/>
  <c r="I33"/>
  <c r="H33"/>
  <c r="AC30"/>
  <c r="Z31"/>
  <c r="Q23" i="8"/>
  <c r="AD18"/>
  <c r="AE18" s="1"/>
  <c r="AK18"/>
  <c r="AL18"/>
  <c r="AI18"/>
  <c r="AJ18" s="1"/>
  <c r="AB31"/>
  <c r="K31"/>
  <c r="AH30" i="10"/>
  <c r="U30"/>
  <c r="S30"/>
  <c r="T30"/>
  <c r="N30"/>
  <c r="AB30"/>
  <c r="W33"/>
  <c r="X33" s="1"/>
  <c r="H33"/>
  <c r="I33" s="1"/>
  <c r="AF31"/>
  <c r="Z31"/>
  <c r="AA31" s="1"/>
  <c r="Q31"/>
  <c r="R31" s="1"/>
  <c r="S31" s="1"/>
  <c r="K31"/>
  <c r="L31" s="1"/>
  <c r="M31" s="1"/>
  <c r="AB31" i="6"/>
  <c r="X30"/>
  <c r="Y30"/>
  <c r="S30"/>
  <c r="AE30"/>
  <c r="AI30"/>
  <c r="Y32" i="8"/>
  <c r="Z32" s="1"/>
  <c r="H32"/>
  <c r="I32" s="1"/>
  <c r="AL21" i="6"/>
  <c r="AK22"/>
  <c r="AH31"/>
  <c r="AD31"/>
  <c r="U31"/>
  <c r="V31" s="1"/>
  <c r="W31" s="1"/>
  <c r="Q31"/>
  <c r="R31" s="1"/>
  <c r="S31" s="1"/>
  <c r="N32"/>
  <c r="AA32"/>
  <c r="S29"/>
  <c r="X29"/>
  <c r="Y29"/>
  <c r="L31" i="14" l="1"/>
  <c r="M31" s="1"/>
  <c r="N31" s="1"/>
  <c r="K30" i="6"/>
  <c r="J31"/>
  <c r="AB31" i="10"/>
  <c r="Q28" i="14"/>
  <c r="S27"/>
  <c r="V27"/>
  <c r="W27"/>
  <c r="AI15"/>
  <c r="AD15"/>
  <c r="H33"/>
  <c r="I33"/>
  <c r="Y33"/>
  <c r="Z33"/>
  <c r="AH33" s="1"/>
  <c r="L32"/>
  <c r="P32"/>
  <c r="K32"/>
  <c r="AC32"/>
  <c r="AN13" i="13"/>
  <c r="AA14" s="1"/>
  <c r="AI14" s="1"/>
  <c r="V21"/>
  <c r="L22"/>
  <c r="Q22"/>
  <c r="W21"/>
  <c r="AO13"/>
  <c r="K32"/>
  <c r="AC32"/>
  <c r="H33"/>
  <c r="I33"/>
  <c r="P33" s="1"/>
  <c r="Y33"/>
  <c r="Z33"/>
  <c r="AH33" s="1"/>
  <c r="AO20" i="12"/>
  <c r="AI21"/>
  <c r="AD21"/>
  <c r="AN20"/>
  <c r="AA31"/>
  <c r="Q20"/>
  <c r="W19"/>
  <c r="V19"/>
  <c r="AC31"/>
  <c r="Z32"/>
  <c r="K33"/>
  <c r="I34"/>
  <c r="H34"/>
  <c r="Y34"/>
  <c r="M24"/>
  <c r="N24" s="1"/>
  <c r="R23" i="8"/>
  <c r="S23" s="1"/>
  <c r="AN18"/>
  <c r="AH19"/>
  <c r="AC19"/>
  <c r="AM18"/>
  <c r="AB32"/>
  <c r="K32"/>
  <c r="AC31" i="10"/>
  <c r="AG31"/>
  <c r="AH31" s="1"/>
  <c r="T31"/>
  <c r="N31"/>
  <c r="AI30"/>
  <c r="AC30"/>
  <c r="AJ30"/>
  <c r="U31"/>
  <c r="AF32"/>
  <c r="Z32"/>
  <c r="AA32" s="1"/>
  <c r="H34"/>
  <c r="I34" s="1"/>
  <c r="W34"/>
  <c r="X34" s="1"/>
  <c r="Q32"/>
  <c r="R32" s="1"/>
  <c r="S32" s="1"/>
  <c r="K32"/>
  <c r="L32" s="1"/>
  <c r="M32" s="1"/>
  <c r="AI31" i="6"/>
  <c r="AJ31" s="1"/>
  <c r="AE31"/>
  <c r="Y31"/>
  <c r="X31"/>
  <c r="AL30"/>
  <c r="AJ30"/>
  <c r="AF30"/>
  <c r="AK30"/>
  <c r="H33" i="8"/>
  <c r="I33" s="1"/>
  <c r="Y33"/>
  <c r="Z33" s="1"/>
  <c r="AL22" i="6"/>
  <c r="AK23"/>
  <c r="AB32"/>
  <c r="AH32"/>
  <c r="AD32"/>
  <c r="O32"/>
  <c r="U32"/>
  <c r="Q32"/>
  <c r="AA33"/>
  <c r="N33"/>
  <c r="K31" l="1"/>
  <c r="U28" i="14"/>
  <c r="R28"/>
  <c r="Q29" s="1"/>
  <c r="T28"/>
  <c r="AJ15"/>
  <c r="AM15"/>
  <c r="AE15"/>
  <c r="AL15"/>
  <c r="M32"/>
  <c r="L33" s="1"/>
  <c r="Y34"/>
  <c r="Z34" s="1"/>
  <c r="AH34" s="1"/>
  <c r="H34"/>
  <c r="I34" s="1"/>
  <c r="AC33"/>
  <c r="P33"/>
  <c r="K33"/>
  <c r="AD14" i="13"/>
  <c r="AL14" s="1"/>
  <c r="U22"/>
  <c r="R22"/>
  <c r="Q23" s="1"/>
  <c r="M22"/>
  <c r="L23" s="1"/>
  <c r="T22"/>
  <c r="AJ14"/>
  <c r="Z34"/>
  <c r="AH34" s="1"/>
  <c r="Y34"/>
  <c r="I34"/>
  <c r="P34" s="1"/>
  <c r="H34"/>
  <c r="AC33"/>
  <c r="K33"/>
  <c r="AE21" i="12"/>
  <c r="AF21" s="1"/>
  <c r="AL21"/>
  <c r="AM21"/>
  <c r="AJ21"/>
  <c r="AK21" s="1"/>
  <c r="AA32"/>
  <c r="R20"/>
  <c r="S20" s="1"/>
  <c r="U20"/>
  <c r="T20"/>
  <c r="Y35"/>
  <c r="H35"/>
  <c r="I35" s="1"/>
  <c r="L25"/>
  <c r="K34"/>
  <c r="AC32"/>
  <c r="Z33"/>
  <c r="Q24" i="8"/>
  <c r="AL19"/>
  <c r="AI19"/>
  <c r="AJ19" s="1"/>
  <c r="AK19"/>
  <c r="AD19"/>
  <c r="AE19" s="1"/>
  <c r="AB33"/>
  <c r="K33"/>
  <c r="AG32" i="10"/>
  <c r="T32"/>
  <c r="N32"/>
  <c r="AB32"/>
  <c r="AC32" s="1"/>
  <c r="AJ31"/>
  <c r="AH32"/>
  <c r="AI31"/>
  <c r="U32"/>
  <c r="W35"/>
  <c r="X35" s="1"/>
  <c r="H35"/>
  <c r="I35" s="1"/>
  <c r="Q33"/>
  <c r="R33" s="1"/>
  <c r="K33"/>
  <c r="L33" s="1"/>
  <c r="M33" s="1"/>
  <c r="N33" s="1"/>
  <c r="AF33"/>
  <c r="Z33"/>
  <c r="AA33" s="1"/>
  <c r="AL31" i="6"/>
  <c r="AF31"/>
  <c r="AK31"/>
  <c r="AE32"/>
  <c r="AI32"/>
  <c r="Z34" i="8"/>
  <c r="Y34"/>
  <c r="H34"/>
  <c r="I34" s="1"/>
  <c r="AL23" i="6"/>
  <c r="AB33"/>
  <c r="AH33"/>
  <c r="AD33"/>
  <c r="R32"/>
  <c r="V32"/>
  <c r="U33"/>
  <c r="Q33"/>
  <c r="O33"/>
  <c r="N34"/>
  <c r="AA34"/>
  <c r="K32" l="1"/>
  <c r="J32"/>
  <c r="AB33" i="10"/>
  <c r="AC33" s="1"/>
  <c r="AE14" i="13"/>
  <c r="AN14" s="1"/>
  <c r="AA15" s="1"/>
  <c r="R23"/>
  <c r="Q24" s="1"/>
  <c r="U23"/>
  <c r="M23"/>
  <c r="L24" s="1"/>
  <c r="T23"/>
  <c r="M33" i="14"/>
  <c r="N33" s="1"/>
  <c r="N32"/>
  <c r="T29"/>
  <c r="U29"/>
  <c r="R29"/>
  <c r="Q30" s="1"/>
  <c r="W28"/>
  <c r="S28"/>
  <c r="V28"/>
  <c r="AN15"/>
  <c r="AA16" s="1"/>
  <c r="AF15"/>
  <c r="AO15"/>
  <c r="AK15"/>
  <c r="AI32" i="10"/>
  <c r="AJ32"/>
  <c r="AG33"/>
  <c r="AH33" s="1"/>
  <c r="AC34" i="14"/>
  <c r="L34"/>
  <c r="P34"/>
  <c r="K34"/>
  <c r="AM14" i="13"/>
  <c r="H35" i="14"/>
  <c r="I35"/>
  <c r="Y35"/>
  <c r="Z35"/>
  <c r="AH35" s="1"/>
  <c r="V22" i="13"/>
  <c r="N22"/>
  <c r="S22"/>
  <c r="W22"/>
  <c r="AF14"/>
  <c r="AK14"/>
  <c r="H35"/>
  <c r="I35"/>
  <c r="P35" s="1"/>
  <c r="Y35"/>
  <c r="Z35"/>
  <c r="AH35" s="1"/>
  <c r="K34"/>
  <c r="AC34"/>
  <c r="AO21" i="12"/>
  <c r="AI22"/>
  <c r="AD22"/>
  <c r="AN21"/>
  <c r="Z34"/>
  <c r="Z35" s="1"/>
  <c r="AA33"/>
  <c r="Q21"/>
  <c r="V20"/>
  <c r="W20"/>
  <c r="M25"/>
  <c r="N25" s="1"/>
  <c r="H36"/>
  <c r="I36" s="1"/>
  <c r="Y36"/>
  <c r="AC33"/>
  <c r="K35"/>
  <c r="R24" i="8"/>
  <c r="S24" s="1"/>
  <c r="AH20"/>
  <c r="AC20"/>
  <c r="AM19"/>
  <c r="AN19"/>
  <c r="AB34"/>
  <c r="K34"/>
  <c r="AJ33" i="10"/>
  <c r="U33"/>
  <c r="S33"/>
  <c r="T33"/>
  <c r="H36"/>
  <c r="I36" s="1"/>
  <c r="W36"/>
  <c r="X36" s="1"/>
  <c r="AF34"/>
  <c r="AG34" s="1"/>
  <c r="Z34"/>
  <c r="AA34" s="1"/>
  <c r="Q34"/>
  <c r="R34" s="1"/>
  <c r="K34"/>
  <c r="L34" s="1"/>
  <c r="M34" s="1"/>
  <c r="N34" s="1"/>
  <c r="X32" i="6"/>
  <c r="Y32"/>
  <c r="AK32"/>
  <c r="AF32"/>
  <c r="W32"/>
  <c r="AJ32"/>
  <c r="AL32"/>
  <c r="S32"/>
  <c r="AI33"/>
  <c r="AJ33" s="1"/>
  <c r="AE33"/>
  <c r="AF33" s="1"/>
  <c r="H35" i="8"/>
  <c r="I35" s="1"/>
  <c r="Y35"/>
  <c r="AK24" i="6"/>
  <c r="AB34"/>
  <c r="AH34"/>
  <c r="AD34"/>
  <c r="R33"/>
  <c r="V33"/>
  <c r="O34"/>
  <c r="U34"/>
  <c r="Q34"/>
  <c r="AA35"/>
  <c r="N35"/>
  <c r="AO14" i="13" l="1"/>
  <c r="J33" i="6"/>
  <c r="K33"/>
  <c r="AB34" i="10"/>
  <c r="AC34" s="1"/>
  <c r="AI33"/>
  <c r="M24" i="13"/>
  <c r="L25" s="1"/>
  <c r="T24"/>
  <c r="R24"/>
  <c r="Q25" s="1"/>
  <c r="U24"/>
  <c r="N23"/>
  <c r="V23"/>
  <c r="W23"/>
  <c r="S23"/>
  <c r="R30" i="14"/>
  <c r="Q31" s="1"/>
  <c r="U30"/>
  <c r="T30"/>
  <c r="W29"/>
  <c r="S29"/>
  <c r="V29"/>
  <c r="AI16"/>
  <c r="AD16"/>
  <c r="AC34" i="12"/>
  <c r="AC35" s="1"/>
  <c r="M34" i="14"/>
  <c r="L35" s="1"/>
  <c r="Y36"/>
  <c r="Z36" s="1"/>
  <c r="AH36" s="1"/>
  <c r="H36"/>
  <c r="I36" s="1"/>
  <c r="AC35"/>
  <c r="P35"/>
  <c r="K35"/>
  <c r="AI15" i="13"/>
  <c r="AD15"/>
  <c r="Y36"/>
  <c r="Z36" s="1"/>
  <c r="AH36" s="1"/>
  <c r="H36"/>
  <c r="I36" s="1"/>
  <c r="P36" s="1"/>
  <c r="AC35"/>
  <c r="K35"/>
  <c r="AJ22" i="12"/>
  <c r="AK22" s="1"/>
  <c r="AM22"/>
  <c r="AE22"/>
  <c r="AF22" s="1"/>
  <c r="AL22"/>
  <c r="AA34"/>
  <c r="AA35"/>
  <c r="Z36"/>
  <c r="R21"/>
  <c r="S21" s="1"/>
  <c r="T21"/>
  <c r="U21"/>
  <c r="K36"/>
  <c r="L26"/>
  <c r="Q25" i="8"/>
  <c r="AL20"/>
  <c r="AI20"/>
  <c r="AK20"/>
  <c r="AD20"/>
  <c r="K35"/>
  <c r="U34" i="10"/>
  <c r="S34"/>
  <c r="AJ34"/>
  <c r="AH34"/>
  <c r="T34"/>
  <c r="Q35"/>
  <c r="R35" s="1"/>
  <c r="K35"/>
  <c r="L35" s="1"/>
  <c r="M35" s="1"/>
  <c r="AF35"/>
  <c r="AG35" s="1"/>
  <c r="Z35"/>
  <c r="AA35" s="1"/>
  <c r="Y33" i="6"/>
  <c r="X33"/>
  <c r="S33"/>
  <c r="AK33"/>
  <c r="AL33"/>
  <c r="W33"/>
  <c r="AE34"/>
  <c r="AF34" s="1"/>
  <c r="AI34"/>
  <c r="AJ34" s="1"/>
  <c r="Y36" i="8"/>
  <c r="H36"/>
  <c r="I36" s="1"/>
  <c r="Z35"/>
  <c r="AL24" i="6"/>
  <c r="AL25" s="1"/>
  <c r="AB35"/>
  <c r="AH35"/>
  <c r="AD35"/>
  <c r="R34"/>
  <c r="J34" s="1"/>
  <c r="V34"/>
  <c r="O35"/>
  <c r="U35"/>
  <c r="Q35"/>
  <c r="N36"/>
  <c r="AA36"/>
  <c r="K34" l="1"/>
  <c r="AB35" i="10"/>
  <c r="AI34"/>
  <c r="R25" i="13"/>
  <c r="U25"/>
  <c r="T25"/>
  <c r="M25"/>
  <c r="L26" s="1"/>
  <c r="S24"/>
  <c r="W24"/>
  <c r="N24"/>
  <c r="V24"/>
  <c r="M35" i="14"/>
  <c r="N35" s="1"/>
  <c r="N34"/>
  <c r="T31"/>
  <c r="U31"/>
  <c r="R31"/>
  <c r="Q32" s="1"/>
  <c r="W30"/>
  <c r="S30"/>
  <c r="V30"/>
  <c r="AJ16"/>
  <c r="AM16"/>
  <c r="AE16"/>
  <c r="AL16"/>
  <c r="AK34" i="6"/>
  <c r="AC36" i="14"/>
  <c r="L36"/>
  <c r="P36"/>
  <c r="K36"/>
  <c r="AJ15" i="13"/>
  <c r="AK15" s="1"/>
  <c r="AM15"/>
  <c r="AE15"/>
  <c r="AL15"/>
  <c r="AC36"/>
  <c r="K36"/>
  <c r="AD23" i="12"/>
  <c r="AN22"/>
  <c r="AI23"/>
  <c r="AO22"/>
  <c r="AC36"/>
  <c r="AA36"/>
  <c r="Q22"/>
  <c r="W21"/>
  <c r="V21"/>
  <c r="M26"/>
  <c r="N26" s="1"/>
  <c r="R25" i="8"/>
  <c r="S25" s="1"/>
  <c r="AC21"/>
  <c r="AH21"/>
  <c r="AE20"/>
  <c r="AM20"/>
  <c r="AJ20"/>
  <c r="AN20"/>
  <c r="AB35"/>
  <c r="K36"/>
  <c r="AJ35" i="10"/>
  <c r="AH35"/>
  <c r="U35"/>
  <c r="S35"/>
  <c r="AI35"/>
  <c r="AC35"/>
  <c r="T35"/>
  <c r="N35"/>
  <c r="AF36"/>
  <c r="AG36" s="1"/>
  <c r="Z36"/>
  <c r="AA36" s="1"/>
  <c r="Q36"/>
  <c r="R36" s="1"/>
  <c r="K36"/>
  <c r="L36" s="1"/>
  <c r="M36" s="1"/>
  <c r="AL34" i="6"/>
  <c r="X34"/>
  <c r="Y34"/>
  <c r="S34"/>
  <c r="W34"/>
  <c r="AI35"/>
  <c r="AE35"/>
  <c r="AF35" s="1"/>
  <c r="Z36" i="8"/>
  <c r="AK25" i="6"/>
  <c r="AK26" s="1"/>
  <c r="AK27" s="1"/>
  <c r="AL26"/>
  <c r="AH36"/>
  <c r="AD36"/>
  <c r="AB36"/>
  <c r="AJ35"/>
  <c r="R35"/>
  <c r="S35" s="1"/>
  <c r="V35"/>
  <c r="O36"/>
  <c r="U36"/>
  <c r="Q36"/>
  <c r="J35" l="1"/>
  <c r="K35"/>
  <c r="AB36" i="10"/>
  <c r="AI36" s="1"/>
  <c r="M26" i="13"/>
  <c r="L27" s="1"/>
  <c r="Q26"/>
  <c r="T26" s="1"/>
  <c r="S25"/>
  <c r="W25"/>
  <c r="V25"/>
  <c r="N25"/>
  <c r="AN15"/>
  <c r="AA16" s="1"/>
  <c r="AD16" s="1"/>
  <c r="AF15"/>
  <c r="R32" i="14"/>
  <c r="Q33" s="1"/>
  <c r="T32"/>
  <c r="U32"/>
  <c r="V31"/>
  <c r="S31"/>
  <c r="W31"/>
  <c r="AN16"/>
  <c r="AA17" s="1"/>
  <c r="AF16"/>
  <c r="AO16"/>
  <c r="AK16"/>
  <c r="M36"/>
  <c r="N36" s="1"/>
  <c r="B14" s="1"/>
  <c r="AO15" i="13"/>
  <c r="AM23" i="12"/>
  <c r="AJ23"/>
  <c r="AK23" s="1"/>
  <c r="AE23"/>
  <c r="AF23" s="1"/>
  <c r="AL23"/>
  <c r="R22"/>
  <c r="S22" s="1"/>
  <c r="U22"/>
  <c r="T22"/>
  <c r="L27"/>
  <c r="AD21" i="8"/>
  <c r="AE21" s="1"/>
  <c r="AK21"/>
  <c r="Q26"/>
  <c r="AL21"/>
  <c r="AI21"/>
  <c r="AB36"/>
  <c r="AC36" i="10"/>
  <c r="B15" s="1"/>
  <c r="U36"/>
  <c r="S36"/>
  <c r="C14" s="1"/>
  <c r="AH36"/>
  <c r="C15" s="1"/>
  <c r="T36"/>
  <c r="N36"/>
  <c r="B14" s="1"/>
  <c r="Y35" i="6"/>
  <c r="W35"/>
  <c r="X35"/>
  <c r="AL35"/>
  <c r="AK35"/>
  <c r="AE36"/>
  <c r="AF36" s="1"/>
  <c r="AI36"/>
  <c r="AJ36" s="1"/>
  <c r="AL27"/>
  <c r="R36"/>
  <c r="J36" s="1"/>
  <c r="V36"/>
  <c r="S36"/>
  <c r="B14" s="1"/>
  <c r="AI16" i="13" l="1"/>
  <c r="AM16" s="1"/>
  <c r="K36" i="6"/>
  <c r="AJ36" i="10"/>
  <c r="M27" i="13"/>
  <c r="U26"/>
  <c r="R26"/>
  <c r="Q27" s="1"/>
  <c r="N26"/>
  <c r="V26"/>
  <c r="R33" i="14"/>
  <c r="Q34" s="1"/>
  <c r="U33"/>
  <c r="T33"/>
  <c r="S32"/>
  <c r="W32"/>
  <c r="V32"/>
  <c r="AI17"/>
  <c r="AD17"/>
  <c r="Y36" i="6"/>
  <c r="AN21" i="8"/>
  <c r="AJ21"/>
  <c r="AE16" i="13"/>
  <c r="AO23" i="12"/>
  <c r="AI24"/>
  <c r="AD24"/>
  <c r="AN23"/>
  <c r="Q23"/>
  <c r="V22"/>
  <c r="W22"/>
  <c r="M27"/>
  <c r="N27" s="1"/>
  <c r="R26" i="8"/>
  <c r="S26" s="1"/>
  <c r="AH22"/>
  <c r="AC22"/>
  <c r="AM21"/>
  <c r="W36" i="6"/>
  <c r="AK36"/>
  <c r="C14"/>
  <c r="D14" s="1"/>
  <c r="D14" i="10"/>
  <c r="E14" s="1"/>
  <c r="D15"/>
  <c r="B21" s="1"/>
  <c r="X36" i="6"/>
  <c r="AL36"/>
  <c r="AK28"/>
  <c r="AJ16" i="13" l="1"/>
  <c r="AK16" s="1"/>
  <c r="AL16"/>
  <c r="F14" i="6"/>
  <c r="G14"/>
  <c r="U27" i="13"/>
  <c r="R27"/>
  <c r="L28"/>
  <c r="N27"/>
  <c r="T27"/>
  <c r="S26"/>
  <c r="W26"/>
  <c r="AN16"/>
  <c r="AA17" s="1"/>
  <c r="AI17" s="1"/>
  <c r="AF16"/>
  <c r="R34" i="14"/>
  <c r="Q35" s="1"/>
  <c r="T34"/>
  <c r="U34"/>
  <c r="W33"/>
  <c r="S33"/>
  <c r="V33"/>
  <c r="AE17"/>
  <c r="AL17"/>
  <c r="AJ17"/>
  <c r="AM17"/>
  <c r="B20" i="10"/>
  <c r="AO16" i="13"/>
  <c r="AM24" i="12"/>
  <c r="AJ24"/>
  <c r="AK24" s="1"/>
  <c r="AE24"/>
  <c r="AF24" s="1"/>
  <c r="AL24"/>
  <c r="R23"/>
  <c r="S23" s="1"/>
  <c r="U23"/>
  <c r="T23"/>
  <c r="L28"/>
  <c r="AL22" i="8"/>
  <c r="AI22"/>
  <c r="AJ22" s="1"/>
  <c r="Q27"/>
  <c r="AK22"/>
  <c r="AD22"/>
  <c r="AE22" s="1"/>
  <c r="F14" i="10"/>
  <c r="C17"/>
  <c r="E15"/>
  <c r="F15"/>
  <c r="E14" i="6"/>
  <c r="AL28"/>
  <c r="AK29"/>
  <c r="AF29"/>
  <c r="B15" s="1"/>
  <c r="AD17" i="13" l="1"/>
  <c r="AE17" s="1"/>
  <c r="AF17" s="1"/>
  <c r="V27"/>
  <c r="Q28"/>
  <c r="T28" s="1"/>
  <c r="M28"/>
  <c r="L29" s="1"/>
  <c r="W27"/>
  <c r="S27"/>
  <c r="U35" i="14"/>
  <c r="R35"/>
  <c r="T35"/>
  <c r="S34"/>
  <c r="W34"/>
  <c r="V34"/>
  <c r="AK17"/>
  <c r="AO17"/>
  <c r="AN17"/>
  <c r="AA18" s="1"/>
  <c r="AF17"/>
  <c r="AM17" i="13"/>
  <c r="AJ17"/>
  <c r="AK17" s="1"/>
  <c r="AL17"/>
  <c r="AD25" i="12"/>
  <c r="AN24"/>
  <c r="AI25"/>
  <c r="AO24"/>
  <c r="W23"/>
  <c r="Q24"/>
  <c r="V23"/>
  <c r="M28"/>
  <c r="N28" s="1"/>
  <c r="R27" i="8"/>
  <c r="S27" s="1"/>
  <c r="AH23"/>
  <c r="AC23"/>
  <c r="AM22"/>
  <c r="AN22"/>
  <c r="AJ29" i="6"/>
  <c r="C15" s="1"/>
  <c r="D15" s="1"/>
  <c r="AL29"/>
  <c r="C17" l="1"/>
  <c r="G15"/>
  <c r="M29" i="13"/>
  <c r="L30" s="1"/>
  <c r="R28"/>
  <c r="V28" s="1"/>
  <c r="U28"/>
  <c r="N28"/>
  <c r="Q36" i="14"/>
  <c r="S35"/>
  <c r="W35"/>
  <c r="V35"/>
  <c r="AI18"/>
  <c r="AD18"/>
  <c r="AO17" i="13"/>
  <c r="AN17"/>
  <c r="AA18" s="1"/>
  <c r="AJ25" i="12"/>
  <c r="AK25" s="1"/>
  <c r="AM25"/>
  <c r="AL25"/>
  <c r="AE25"/>
  <c r="AF25" s="1"/>
  <c r="R24"/>
  <c r="S24" s="1"/>
  <c r="U24"/>
  <c r="T24"/>
  <c r="L29"/>
  <c r="AL23" i="8"/>
  <c r="AI23"/>
  <c r="AJ23" s="1"/>
  <c r="Q28"/>
  <c r="AD23"/>
  <c r="AE23" s="1"/>
  <c r="AK23"/>
  <c r="E15" i="6"/>
  <c r="F15"/>
  <c r="M30" i="13" l="1"/>
  <c r="L31" s="1"/>
  <c r="N29"/>
  <c r="Q29"/>
  <c r="S28"/>
  <c r="W28"/>
  <c r="R36" i="14"/>
  <c r="T36"/>
  <c r="U36"/>
  <c r="AM18"/>
  <c r="AJ18"/>
  <c r="AE18"/>
  <c r="AL18"/>
  <c r="AI18" i="13"/>
  <c r="AD18"/>
  <c r="AO25" i="12"/>
  <c r="AI26"/>
  <c r="AD26"/>
  <c r="AN25"/>
  <c r="Q25"/>
  <c r="W24"/>
  <c r="V24"/>
  <c r="M29"/>
  <c r="N29" s="1"/>
  <c r="AH24" i="8"/>
  <c r="AC24"/>
  <c r="AM23"/>
  <c r="R28"/>
  <c r="S28" s="1"/>
  <c r="AN23"/>
  <c r="J18" i="7"/>
  <c r="M31" i="13" l="1"/>
  <c r="N30"/>
  <c r="U29"/>
  <c r="R29"/>
  <c r="Q30" s="1"/>
  <c r="T29"/>
  <c r="V36" i="14"/>
  <c r="S36"/>
  <c r="C14" s="1"/>
  <c r="D14" s="1"/>
  <c r="E14" s="1"/>
  <c r="W36"/>
  <c r="AO18"/>
  <c r="AK18"/>
  <c r="AF18"/>
  <c r="AN18"/>
  <c r="AA19" s="1"/>
  <c r="AE18" i="13"/>
  <c r="AF18" s="1"/>
  <c r="AL18"/>
  <c r="AJ18"/>
  <c r="AM18"/>
  <c r="AL26" i="12"/>
  <c r="AE26"/>
  <c r="AF26" s="1"/>
  <c r="AJ26"/>
  <c r="AK26" s="1"/>
  <c r="AM26"/>
  <c r="U25"/>
  <c r="R25"/>
  <c r="S25" s="1"/>
  <c r="T25"/>
  <c r="L30"/>
  <c r="AL24" i="8"/>
  <c r="AI24"/>
  <c r="AJ24" s="1"/>
  <c r="Q29"/>
  <c r="AD24"/>
  <c r="AE24" s="1"/>
  <c r="AK24"/>
  <c r="K18" i="7"/>
  <c r="N31" i="13" l="1"/>
  <c r="L32"/>
  <c r="R30"/>
  <c r="Q31" s="1"/>
  <c r="U30"/>
  <c r="T30"/>
  <c r="W29"/>
  <c r="S29"/>
  <c r="V29"/>
  <c r="AO18"/>
  <c r="AK18"/>
  <c r="F14" i="14"/>
  <c r="AI19"/>
  <c r="AD19"/>
  <c r="AN18" i="13"/>
  <c r="AA19" s="1"/>
  <c r="AI27" i="12"/>
  <c r="AO26"/>
  <c r="AN26"/>
  <c r="AD27"/>
  <c r="W25"/>
  <c r="Q26"/>
  <c r="V25"/>
  <c r="M30"/>
  <c r="N30" s="1"/>
  <c r="AC25" i="8"/>
  <c r="AH25"/>
  <c r="AM24"/>
  <c r="R29"/>
  <c r="S29" s="1"/>
  <c r="AN24"/>
  <c r="C20" i="7"/>
  <c r="J19"/>
  <c r="K19"/>
  <c r="M32" i="13" l="1"/>
  <c r="L33" s="1"/>
  <c r="R31"/>
  <c r="Q32" s="1"/>
  <c r="U31"/>
  <c r="T31"/>
  <c r="W30"/>
  <c r="S30"/>
  <c r="V30"/>
  <c r="AJ19" i="14"/>
  <c r="AM19"/>
  <c r="AL19"/>
  <c r="AE19"/>
  <c r="AI19" i="13"/>
  <c r="AD19"/>
  <c r="AJ27" i="12"/>
  <c r="AK27" s="1"/>
  <c r="AM27"/>
  <c r="AE27"/>
  <c r="AF27" s="1"/>
  <c r="AL27"/>
  <c r="R26"/>
  <c r="S26" s="1"/>
  <c r="T26"/>
  <c r="U26"/>
  <c r="L31"/>
  <c r="AD25" i="8"/>
  <c r="AE25" s="1"/>
  <c r="AK25"/>
  <c r="Q30"/>
  <c r="AL25"/>
  <c r="AI25"/>
  <c r="AJ25" s="1"/>
  <c r="D20" i="7"/>
  <c r="M20"/>
  <c r="C21"/>
  <c r="K20"/>
  <c r="J20"/>
  <c r="M33" i="13" l="1"/>
  <c r="L34" s="1"/>
  <c r="R32"/>
  <c r="Q33" s="1"/>
  <c r="U32"/>
  <c r="T32"/>
  <c r="N32"/>
  <c r="V31"/>
  <c r="S31"/>
  <c r="W31"/>
  <c r="AF19" i="14"/>
  <c r="AN19"/>
  <c r="AA20" s="1"/>
  <c r="AK19"/>
  <c r="AO19"/>
  <c r="AM19" i="13"/>
  <c r="AJ19"/>
  <c r="AK19" s="1"/>
  <c r="AE19"/>
  <c r="AF19" s="1"/>
  <c r="AL19"/>
  <c r="AI28" i="12"/>
  <c r="AD28"/>
  <c r="AN27"/>
  <c r="AO27"/>
  <c r="Q27"/>
  <c r="W26"/>
  <c r="V26"/>
  <c r="M31"/>
  <c r="N31" s="1"/>
  <c r="AC26" i="8"/>
  <c r="AH26"/>
  <c r="AM25"/>
  <c r="R30"/>
  <c r="Q31" s="1"/>
  <c r="AN25"/>
  <c r="I20" i="7"/>
  <c r="O20" s="1"/>
  <c r="G21"/>
  <c r="H21" s="1"/>
  <c r="K21" s="1"/>
  <c r="D21"/>
  <c r="V32" i="13" l="1"/>
  <c r="M34"/>
  <c r="L35" s="1"/>
  <c r="U33"/>
  <c r="R33"/>
  <c r="Q34" s="1"/>
  <c r="N33"/>
  <c r="T33"/>
  <c r="S32"/>
  <c r="W32"/>
  <c r="AI20" i="14"/>
  <c r="AD20"/>
  <c r="AO19" i="13"/>
  <c r="AN19"/>
  <c r="AA20" s="1"/>
  <c r="AM28" i="12"/>
  <c r="AJ28"/>
  <c r="AK28" s="1"/>
  <c r="AE28"/>
  <c r="AF28" s="1"/>
  <c r="AL28"/>
  <c r="U27"/>
  <c r="R27"/>
  <c r="S27" s="1"/>
  <c r="T27"/>
  <c r="L32"/>
  <c r="R31" i="8"/>
  <c r="S31" s="1"/>
  <c r="AK26"/>
  <c r="AD26"/>
  <c r="AE26" s="1"/>
  <c r="S30"/>
  <c r="AI26"/>
  <c r="AL26"/>
  <c r="J21" i="7"/>
  <c r="M21"/>
  <c r="I21"/>
  <c r="O21" s="1"/>
  <c r="C10"/>
  <c r="D10" s="1"/>
  <c r="J8"/>
  <c r="K8"/>
  <c r="V33" i="13" l="1"/>
  <c r="M35"/>
  <c r="L36" s="1"/>
  <c r="N34"/>
  <c r="U34"/>
  <c r="R34"/>
  <c r="Q35" s="1"/>
  <c r="T34"/>
  <c r="W33"/>
  <c r="S33"/>
  <c r="AJ20" i="14"/>
  <c r="AM20"/>
  <c r="AL20"/>
  <c r="AE20"/>
  <c r="AN26" i="8"/>
  <c r="AJ26"/>
  <c r="AI20" i="13"/>
  <c r="AD20"/>
  <c r="AD29" i="12"/>
  <c r="AN28"/>
  <c r="AI29"/>
  <c r="AO28"/>
  <c r="Q28"/>
  <c r="W27"/>
  <c r="V27"/>
  <c r="M32"/>
  <c r="N32" s="1"/>
  <c r="Q32" i="8"/>
  <c r="AH27"/>
  <c r="AC27"/>
  <c r="AM26"/>
  <c r="K9" i="7"/>
  <c r="J9"/>
  <c r="C11"/>
  <c r="D11" s="1"/>
  <c r="M36" i="13" l="1"/>
  <c r="R35"/>
  <c r="Q36" s="1"/>
  <c r="T36" s="1"/>
  <c r="U35"/>
  <c r="N35"/>
  <c r="T35"/>
  <c r="S34"/>
  <c r="W34"/>
  <c r="V34"/>
  <c r="AF20" i="14"/>
  <c r="AN20"/>
  <c r="AA21" s="1"/>
  <c r="AK20"/>
  <c r="AO20"/>
  <c r="AM20" i="13"/>
  <c r="AJ20"/>
  <c r="AK20" s="1"/>
  <c r="AE20"/>
  <c r="AF20" s="1"/>
  <c r="AL20"/>
  <c r="AJ29" i="12"/>
  <c r="AK29" s="1"/>
  <c r="AM29"/>
  <c r="AL29"/>
  <c r="AE29"/>
  <c r="AF29" s="1"/>
  <c r="R28"/>
  <c r="S28" s="1"/>
  <c r="T28"/>
  <c r="U28"/>
  <c r="L33"/>
  <c r="R32" i="8"/>
  <c r="S32" s="1"/>
  <c r="AL27"/>
  <c r="AI27"/>
  <c r="AJ27" s="1"/>
  <c r="AK27"/>
  <c r="AD27"/>
  <c r="AE27" s="1"/>
  <c r="J10" i="7"/>
  <c r="K10"/>
  <c r="V35" i="13" l="1"/>
  <c r="R36"/>
  <c r="V36" s="1"/>
  <c r="U36"/>
  <c r="N36"/>
  <c r="B14" s="1"/>
  <c r="S35"/>
  <c r="W35"/>
  <c r="AI21" i="14"/>
  <c r="AD21"/>
  <c r="AO20" i="13"/>
  <c r="AN20"/>
  <c r="AA21" s="1"/>
  <c r="AO29" i="12"/>
  <c r="AD30"/>
  <c r="AN29"/>
  <c r="AI30"/>
  <c r="Q29"/>
  <c r="V28"/>
  <c r="W28"/>
  <c r="M33"/>
  <c r="Q33" i="8"/>
  <c r="AC28"/>
  <c r="AH28"/>
  <c r="AM27"/>
  <c r="AN27"/>
  <c r="K11" i="7"/>
  <c r="J11"/>
  <c r="W6" i="8"/>
  <c r="V6"/>
  <c r="M7"/>
  <c r="S36" i="13" l="1"/>
  <c r="W36"/>
  <c r="C14"/>
  <c r="D14" s="1"/>
  <c r="E14" s="1"/>
  <c r="AM21" i="14"/>
  <c r="AJ21"/>
  <c r="AE21"/>
  <c r="AL21"/>
  <c r="L8" i="8"/>
  <c r="U8" s="1"/>
  <c r="N7"/>
  <c r="AI21" i="13"/>
  <c r="AD21"/>
  <c r="AJ30" i="12"/>
  <c r="AK30" s="1"/>
  <c r="AM30"/>
  <c r="AE30"/>
  <c r="AF30" s="1"/>
  <c r="AL30"/>
  <c r="U29"/>
  <c r="R29"/>
  <c r="S29" s="1"/>
  <c r="T29"/>
  <c r="L34"/>
  <c r="N33"/>
  <c r="R33" i="8"/>
  <c r="S33" s="1"/>
  <c r="AK28"/>
  <c r="AD28"/>
  <c r="AE28" s="1"/>
  <c r="AI28"/>
  <c r="AJ28" s="1"/>
  <c r="AL28"/>
  <c r="T8"/>
  <c r="V7"/>
  <c r="W7"/>
  <c r="M8" l="1"/>
  <c r="F14" i="13"/>
  <c r="AF21" i="14"/>
  <c r="AN21"/>
  <c r="AA22" s="1"/>
  <c r="AK21"/>
  <c r="AO21"/>
  <c r="AJ21" i="13"/>
  <c r="AK21" s="1"/>
  <c r="AM21"/>
  <c r="AE21"/>
  <c r="AL21"/>
  <c r="AD31" i="12"/>
  <c r="AN30"/>
  <c r="AI31"/>
  <c r="AO30"/>
  <c r="Q30"/>
  <c r="W29"/>
  <c r="V29"/>
  <c r="M34"/>
  <c r="N34" s="1"/>
  <c r="L9" i="8"/>
  <c r="T9" s="1"/>
  <c r="N8"/>
  <c r="Q34"/>
  <c r="AN28"/>
  <c r="AH29"/>
  <c r="AC29"/>
  <c r="AM28"/>
  <c r="V8"/>
  <c r="W8"/>
  <c r="AN21" i="13" l="1"/>
  <c r="AA22" s="1"/>
  <c r="AD22" s="1"/>
  <c r="AF21"/>
  <c r="AD22" i="14"/>
  <c r="AI22"/>
  <c r="AO21" i="13"/>
  <c r="AM31" i="12"/>
  <c r="AJ31"/>
  <c r="AL31"/>
  <c r="AE31"/>
  <c r="M9" i="8"/>
  <c r="V9" s="1"/>
  <c r="U9"/>
  <c r="R30" i="12"/>
  <c r="S30" s="1"/>
  <c r="U30"/>
  <c r="T30"/>
  <c r="L35"/>
  <c r="R34" i="8"/>
  <c r="S34" s="1"/>
  <c r="AL29"/>
  <c r="AI29"/>
  <c r="AJ29" s="1"/>
  <c r="AD29"/>
  <c r="AE29" s="1"/>
  <c r="AK29"/>
  <c r="W9" l="1"/>
  <c r="AI22" i="13"/>
  <c r="AM22" s="1"/>
  <c r="AE22" i="14"/>
  <c r="AL22"/>
  <c r="AM22"/>
  <c r="AJ22"/>
  <c r="N10" i="8"/>
  <c r="L10"/>
  <c r="M10" s="1"/>
  <c r="L11" s="1"/>
  <c r="N9"/>
  <c r="AE22" i="13"/>
  <c r="AI32" i="12"/>
  <c r="AD32"/>
  <c r="AF31"/>
  <c r="AN31"/>
  <c r="AK31"/>
  <c r="AO31"/>
  <c r="Q31"/>
  <c r="V30"/>
  <c r="W30"/>
  <c r="M35"/>
  <c r="N35" s="1"/>
  <c r="Q35" i="8"/>
  <c r="AH30"/>
  <c r="AC30"/>
  <c r="AM29"/>
  <c r="AN29"/>
  <c r="AJ22" i="13" l="1"/>
  <c r="AL22"/>
  <c r="AK22" i="14"/>
  <c r="AO22"/>
  <c r="AF22"/>
  <c r="AN22"/>
  <c r="AA23" s="1"/>
  <c r="V10" i="8"/>
  <c r="W10"/>
  <c r="U11"/>
  <c r="T11"/>
  <c r="M11"/>
  <c r="L12" s="1"/>
  <c r="T12" s="1"/>
  <c r="N11"/>
  <c r="T10"/>
  <c r="U10"/>
  <c r="AF22" i="13"/>
  <c r="AN22"/>
  <c r="AA23" s="1"/>
  <c r="AK22"/>
  <c r="AO22"/>
  <c r="AJ32" i="12"/>
  <c r="AM32"/>
  <c r="AE32"/>
  <c r="AL32"/>
  <c r="R31"/>
  <c r="S31" s="1"/>
  <c r="U31"/>
  <c r="T31"/>
  <c r="L36"/>
  <c r="R35" i="8"/>
  <c r="S35" s="1"/>
  <c r="AI30"/>
  <c r="AL30"/>
  <c r="AK30"/>
  <c r="AD30"/>
  <c r="W11" l="1"/>
  <c r="V11"/>
  <c r="AD23" i="13"/>
  <c r="AI23"/>
  <c r="AD23" i="14"/>
  <c r="AI23"/>
  <c r="U12" i="8"/>
  <c r="M12"/>
  <c r="L13" s="1"/>
  <c r="N12"/>
  <c r="AD33" i="12"/>
  <c r="AI33"/>
  <c r="AF32"/>
  <c r="AN32"/>
  <c r="AK32"/>
  <c r="AO32"/>
  <c r="Q32"/>
  <c r="V31"/>
  <c r="W31"/>
  <c r="M36"/>
  <c r="N36" s="1"/>
  <c r="B14" s="1"/>
  <c r="AC31" i="8"/>
  <c r="AH31"/>
  <c r="Q36"/>
  <c r="AJ30"/>
  <c r="AN30"/>
  <c r="AM30"/>
  <c r="AE30"/>
  <c r="AE23" i="13" l="1"/>
  <c r="AL23"/>
  <c r="AJ23"/>
  <c r="AM23"/>
  <c r="AM23" i="14"/>
  <c r="AJ23"/>
  <c r="AE23"/>
  <c r="AL23"/>
  <c r="T13" i="8"/>
  <c r="U13"/>
  <c r="M13"/>
  <c r="W12"/>
  <c r="V12"/>
  <c r="L14"/>
  <c r="T14" s="1"/>
  <c r="N13"/>
  <c r="AL33" i="12"/>
  <c r="AE33"/>
  <c r="AF33" s="1"/>
  <c r="AM33"/>
  <c r="AJ33"/>
  <c r="AK33" s="1"/>
  <c r="R32"/>
  <c r="S32" s="1"/>
  <c r="U32"/>
  <c r="T32"/>
  <c r="R36" i="8"/>
  <c r="S36" s="1"/>
  <c r="C14" s="1"/>
  <c r="AD31"/>
  <c r="AE31" s="1"/>
  <c r="AK31"/>
  <c r="AL31"/>
  <c r="AI31"/>
  <c r="AJ31" s="1"/>
  <c r="W13"/>
  <c r="V13"/>
  <c r="AK23" i="13" l="1"/>
  <c r="AO23"/>
  <c r="AF23"/>
  <c r="AN23"/>
  <c r="AA24" s="1"/>
  <c r="AF23" i="14"/>
  <c r="AN23"/>
  <c r="AA24" s="1"/>
  <c r="AK23"/>
  <c r="AO23"/>
  <c r="U14" i="8"/>
  <c r="M14"/>
  <c r="L15" s="1"/>
  <c r="U15" s="1"/>
  <c r="AO33" i="12"/>
  <c r="AD34"/>
  <c r="AI34"/>
  <c r="AN33"/>
  <c r="Q33"/>
  <c r="W32"/>
  <c r="V32"/>
  <c r="AN31" i="8"/>
  <c r="AH32"/>
  <c r="AC32"/>
  <c r="AM31"/>
  <c r="N14"/>
  <c r="AD24" i="13" l="1"/>
  <c r="AI24"/>
  <c r="AI24" i="14"/>
  <c r="AD24"/>
  <c r="M15" i="8"/>
  <c r="T15"/>
  <c r="V14"/>
  <c r="W14"/>
  <c r="AL34" i="12"/>
  <c r="AE34"/>
  <c r="AF34" s="1"/>
  <c r="AM34"/>
  <c r="AJ34"/>
  <c r="R33"/>
  <c r="S33" s="1"/>
  <c r="T33"/>
  <c r="U33"/>
  <c r="AL32" i="8"/>
  <c r="AI32"/>
  <c r="AJ32" s="1"/>
  <c r="AK32"/>
  <c r="AD32"/>
  <c r="AE32" s="1"/>
  <c r="N15"/>
  <c r="L16"/>
  <c r="M16" s="1"/>
  <c r="N16" s="1"/>
  <c r="V15"/>
  <c r="W15"/>
  <c r="AE24" i="13" l="1"/>
  <c r="AL24"/>
  <c r="AM24"/>
  <c r="AJ24"/>
  <c r="AE24" i="14"/>
  <c r="AL24"/>
  <c r="AM24"/>
  <c r="AJ24"/>
  <c r="AO34" i="12"/>
  <c r="AK34"/>
  <c r="AD35"/>
  <c r="AI35"/>
  <c r="AN34"/>
  <c r="Q34"/>
  <c r="V33"/>
  <c r="W33"/>
  <c r="AC33" i="8"/>
  <c r="AH33"/>
  <c r="AM32"/>
  <c r="AN32"/>
  <c r="L17"/>
  <c r="W16"/>
  <c r="V16"/>
  <c r="T16"/>
  <c r="U16"/>
  <c r="AF24" i="13" l="1"/>
  <c r="AN24"/>
  <c r="AA25" s="1"/>
  <c r="AO24"/>
  <c r="AK24"/>
  <c r="AK24" i="14"/>
  <c r="AO24"/>
  <c r="AF24"/>
  <c r="AN24"/>
  <c r="AA25" s="1"/>
  <c r="AL35" i="12"/>
  <c r="AE35"/>
  <c r="AF35" s="1"/>
  <c r="AM35"/>
  <c r="AJ35"/>
  <c r="R34"/>
  <c r="S34" s="1"/>
  <c r="T34"/>
  <c r="U34"/>
  <c r="AD33" i="8"/>
  <c r="AE33" s="1"/>
  <c r="AK33"/>
  <c r="AL33"/>
  <c r="AI33"/>
  <c r="AJ33" s="1"/>
  <c r="T17"/>
  <c r="M17"/>
  <c r="N17" s="1"/>
  <c r="U17"/>
  <c r="AD25" i="13" l="1"/>
  <c r="AI25"/>
  <c r="AD25" i="14"/>
  <c r="AI25"/>
  <c r="AO35" i="12"/>
  <c r="AK35"/>
  <c r="AD36"/>
  <c r="AI36"/>
  <c r="AN35"/>
  <c r="Q35"/>
  <c r="V34"/>
  <c r="W34"/>
  <c r="AN33" i="8"/>
  <c r="AC34"/>
  <c r="AH34"/>
  <c r="AM33"/>
  <c r="L18"/>
  <c r="V17"/>
  <c r="W17"/>
  <c r="AJ25" i="13" l="1"/>
  <c r="AM25"/>
  <c r="AL25"/>
  <c r="AE25"/>
  <c r="AJ25" i="14"/>
  <c r="AM25"/>
  <c r="AE25"/>
  <c r="AL25"/>
  <c r="AL36" i="12"/>
  <c r="AE36"/>
  <c r="AF36" s="1"/>
  <c r="B15" s="1"/>
  <c r="AM36"/>
  <c r="AJ36"/>
  <c r="R35"/>
  <c r="S35" s="1"/>
  <c r="U35"/>
  <c r="T35"/>
  <c r="AK34" i="8"/>
  <c r="AD34"/>
  <c r="AE34" s="1"/>
  <c r="AI34"/>
  <c r="AJ34" s="1"/>
  <c r="AL34"/>
  <c r="M18"/>
  <c r="N18" s="1"/>
  <c r="T18"/>
  <c r="U18"/>
  <c r="AF25" i="13" l="1"/>
  <c r="AN25"/>
  <c r="AA26" s="1"/>
  <c r="AK25"/>
  <c r="AO25"/>
  <c r="AF25" i="14"/>
  <c r="AN25"/>
  <c r="AA26" s="1"/>
  <c r="AK25"/>
  <c r="AO25"/>
  <c r="AK36" i="12"/>
  <c r="C15" s="1"/>
  <c r="AO36"/>
  <c r="AN36"/>
  <c r="Q36"/>
  <c r="W35"/>
  <c r="V35"/>
  <c r="AN34" i="8"/>
  <c r="AC35"/>
  <c r="AH35"/>
  <c r="AM34"/>
  <c r="L19"/>
  <c r="V18"/>
  <c r="W18"/>
  <c r="AI26" i="13" l="1"/>
  <c r="AD26"/>
  <c r="AI26" i="14"/>
  <c r="AJ26" s="1"/>
  <c r="AD26"/>
  <c r="D15" i="12"/>
  <c r="E15" s="1"/>
  <c r="R36"/>
  <c r="T36"/>
  <c r="U36"/>
  <c r="AL35" i="8"/>
  <c r="AI35"/>
  <c r="AD35"/>
  <c r="AE35" s="1"/>
  <c r="AK35"/>
  <c r="T19"/>
  <c r="M19"/>
  <c r="N19" s="1"/>
  <c r="U19"/>
  <c r="AE26" i="13" l="1"/>
  <c r="AL26"/>
  <c r="AJ26"/>
  <c r="AM26"/>
  <c r="AM26" i="14"/>
  <c r="AE26"/>
  <c r="AO26" s="1"/>
  <c r="AL26"/>
  <c r="AK26"/>
  <c r="F15" i="12"/>
  <c r="S36"/>
  <c r="C14" s="1"/>
  <c r="W36"/>
  <c r="V36"/>
  <c r="AN35" i="8"/>
  <c r="AJ35"/>
  <c r="AC36"/>
  <c r="AH36"/>
  <c r="AM35"/>
  <c r="L20"/>
  <c r="V19"/>
  <c r="W19"/>
  <c r="AK26" i="13" l="1"/>
  <c r="AO26"/>
  <c r="AN26"/>
  <c r="AA27" s="1"/>
  <c r="AF26"/>
  <c r="AN26" i="14"/>
  <c r="AA27" s="1"/>
  <c r="AF26"/>
  <c r="D14" i="12"/>
  <c r="F14" s="1"/>
  <c r="AD36" i="8"/>
  <c r="AE36" s="1"/>
  <c r="B15" s="1"/>
  <c r="AK36"/>
  <c r="AI36"/>
  <c r="AL36"/>
  <c r="M20"/>
  <c r="L21" s="1"/>
  <c r="T20"/>
  <c r="U20"/>
  <c r="AI27" i="13" l="1"/>
  <c r="AD27"/>
  <c r="AI27" i="14"/>
  <c r="AD27"/>
  <c r="E14" i="12"/>
  <c r="C17"/>
  <c r="AN36" i="8"/>
  <c r="AJ36"/>
  <c r="C15" s="1"/>
  <c r="D15" s="1"/>
  <c r="AM36"/>
  <c r="M21"/>
  <c r="N21" s="1"/>
  <c r="T21"/>
  <c r="U21"/>
  <c r="N20"/>
  <c r="V20"/>
  <c r="W20"/>
  <c r="AJ27" i="13" l="1"/>
  <c r="AM27"/>
  <c r="AE27"/>
  <c r="AL27"/>
  <c r="AL27" i="14"/>
  <c r="AE27"/>
  <c r="AJ27"/>
  <c r="AM27"/>
  <c r="F15" i="8"/>
  <c r="E15"/>
  <c r="L22"/>
  <c r="V21"/>
  <c r="W21"/>
  <c r="AN27" i="13" l="1"/>
  <c r="AA28" s="1"/>
  <c r="AF27"/>
  <c r="AK27"/>
  <c r="AO27"/>
  <c r="AK27" i="14"/>
  <c r="AO27"/>
  <c r="AF27"/>
  <c r="AN27"/>
  <c r="AA28" s="1"/>
  <c r="M22" i="8"/>
  <c r="N22" s="1"/>
  <c r="T22"/>
  <c r="U22"/>
  <c r="AD28" i="13" l="1"/>
  <c r="AI28"/>
  <c r="AD28" i="14"/>
  <c r="AI28"/>
  <c r="L23" i="8"/>
  <c r="V22"/>
  <c r="W22"/>
  <c r="AE28" i="13" l="1"/>
  <c r="AL28"/>
  <c r="AM28"/>
  <c r="AJ28"/>
  <c r="AM28" i="14"/>
  <c r="AJ28"/>
  <c r="AL28"/>
  <c r="AE28"/>
  <c r="T23" i="8"/>
  <c r="M23"/>
  <c r="N23" s="1"/>
  <c r="U23"/>
  <c r="AF28" i="13" l="1"/>
  <c r="AN28"/>
  <c r="AA29" s="1"/>
  <c r="AK28"/>
  <c r="AO28"/>
  <c r="AN28" i="14"/>
  <c r="AA29" s="1"/>
  <c r="AF28"/>
  <c r="AK28"/>
  <c r="AO28"/>
  <c r="L24" i="8"/>
  <c r="V23"/>
  <c r="W23"/>
  <c r="AI29" i="13" l="1"/>
  <c r="AD29"/>
  <c r="AD29" i="14"/>
  <c r="AI29"/>
  <c r="M24" i="8"/>
  <c r="N24" s="1"/>
  <c r="T24"/>
  <c r="U24"/>
  <c r="AE29" i="13" l="1"/>
  <c r="AL29"/>
  <c r="AJ29"/>
  <c r="AM29"/>
  <c r="AL29" i="14"/>
  <c r="AE29"/>
  <c r="AJ29"/>
  <c r="AM29"/>
  <c r="V24" i="8"/>
  <c r="L25"/>
  <c r="W24"/>
  <c r="AK29" i="13" l="1"/>
  <c r="AO29"/>
  <c r="AF29"/>
  <c r="AN29"/>
  <c r="AA30" s="1"/>
  <c r="AK29" i="14"/>
  <c r="AO29"/>
  <c r="AF29"/>
  <c r="AN29"/>
  <c r="AA30" s="1"/>
  <c r="M25" i="8"/>
  <c r="N25" s="1"/>
  <c r="T25"/>
  <c r="U25"/>
  <c r="AD30" i="13" l="1"/>
  <c r="AI30"/>
  <c r="AD30" i="14"/>
  <c r="AI30"/>
  <c r="L26" i="8"/>
  <c r="V25"/>
  <c r="W25"/>
  <c r="AL30" i="13" l="1"/>
  <c r="AE30"/>
  <c r="AJ30"/>
  <c r="AM30"/>
  <c r="AM30" i="14"/>
  <c r="AJ30"/>
  <c r="AE30"/>
  <c r="AL30"/>
  <c r="M26" i="8"/>
  <c r="N26" s="1"/>
  <c r="T26"/>
  <c r="U26"/>
  <c r="AO30" i="13" l="1"/>
  <c r="AK30"/>
  <c r="AF30"/>
  <c r="AN30"/>
  <c r="AA31" s="1"/>
  <c r="AO30" i="14"/>
  <c r="AK30"/>
  <c r="AF30"/>
  <c r="AN30"/>
  <c r="AA31" s="1"/>
  <c r="L27" i="8"/>
  <c r="V26"/>
  <c r="W26"/>
  <c r="AD31" i="13" l="1"/>
  <c r="AI31"/>
  <c r="AI31" i="14"/>
  <c r="AD31"/>
  <c r="T27" i="8"/>
  <c r="M27"/>
  <c r="N27" s="1"/>
  <c r="U27"/>
  <c r="AE31" i="13" l="1"/>
  <c r="AL31"/>
  <c r="AM31"/>
  <c r="AJ31"/>
  <c r="AJ31" i="14"/>
  <c r="AM31"/>
  <c r="AE31"/>
  <c r="AL31"/>
  <c r="L28" i="8"/>
  <c r="V27"/>
  <c r="W27"/>
  <c r="AK31" i="13" l="1"/>
  <c r="AO31"/>
  <c r="AF31"/>
  <c r="AN31"/>
  <c r="AA32" s="1"/>
  <c r="AF31" i="14"/>
  <c r="AN31"/>
  <c r="AA32" s="1"/>
  <c r="AK31"/>
  <c r="AO31"/>
  <c r="T28" i="8"/>
  <c r="M28"/>
  <c r="N28" s="1"/>
  <c r="U28"/>
  <c r="AI32" i="13" l="1"/>
  <c r="AJ32" s="1"/>
  <c r="AK32" s="1"/>
  <c r="AD32"/>
  <c r="AI32" i="14"/>
  <c r="AD32"/>
  <c r="L29" i="8"/>
  <c r="V28"/>
  <c r="W28"/>
  <c r="AM32" i="13" l="1"/>
  <c r="AE32"/>
  <c r="AL32"/>
  <c r="AE32" i="14"/>
  <c r="AL32"/>
  <c r="AJ32"/>
  <c r="AM32"/>
  <c r="T29" i="8"/>
  <c r="M29"/>
  <c r="N29" s="1"/>
  <c r="U29"/>
  <c r="AO32" i="13" l="1"/>
  <c r="AF32"/>
  <c r="AN32"/>
  <c r="AA33" s="1"/>
  <c r="AK32" i="14"/>
  <c r="AO32"/>
  <c r="AF32"/>
  <c r="AN32"/>
  <c r="AA33" s="1"/>
  <c r="L30" i="8"/>
  <c r="V29"/>
  <c r="W29"/>
  <c r="AD33" i="13" l="1"/>
  <c r="AI33"/>
  <c r="AI33" i="14"/>
  <c r="AJ33" s="1"/>
  <c r="AD33"/>
  <c r="T30" i="8"/>
  <c r="M30"/>
  <c r="L31" s="1"/>
  <c r="U30"/>
  <c r="AE33" i="13" l="1"/>
  <c r="AL33"/>
  <c r="AJ33"/>
  <c r="AM33"/>
  <c r="AK33" i="14"/>
  <c r="AM33"/>
  <c r="AL33"/>
  <c r="AE33"/>
  <c r="M31" i="8"/>
  <c r="N31" s="1"/>
  <c r="T31"/>
  <c r="U31"/>
  <c r="N30"/>
  <c r="V30"/>
  <c r="W30"/>
  <c r="AO33" i="13" l="1"/>
  <c r="AK33"/>
  <c r="AF33"/>
  <c r="AN33"/>
  <c r="AA34" s="1"/>
  <c r="AN33" i="14"/>
  <c r="AA34" s="1"/>
  <c r="AF33"/>
  <c r="AO33"/>
  <c r="L32" i="8"/>
  <c r="V31"/>
  <c r="W31"/>
  <c r="AI34" i="13" l="1"/>
  <c r="AD34"/>
  <c r="AD34" i="14"/>
  <c r="AI34"/>
  <c r="M32" i="8"/>
  <c r="N32" s="1"/>
  <c r="T32"/>
  <c r="U32"/>
  <c r="AJ34" i="13" l="1"/>
  <c r="AM34"/>
  <c r="AE34"/>
  <c r="AL34"/>
  <c r="AM34" i="14"/>
  <c r="AJ34"/>
  <c r="AE34"/>
  <c r="AF34" s="1"/>
  <c r="AL34"/>
  <c r="L33" i="8"/>
  <c r="V32"/>
  <c r="W32"/>
  <c r="AF34" i="13" l="1"/>
  <c r="AN34"/>
  <c r="AA35" s="1"/>
  <c r="AK34"/>
  <c r="AO34"/>
  <c r="AN34" i="14"/>
  <c r="AA35" s="1"/>
  <c r="AK34"/>
  <c r="AO34"/>
  <c r="M33" i="8"/>
  <c r="N33" s="1"/>
  <c r="T33"/>
  <c r="U33"/>
  <c r="AI35" i="13" l="1"/>
  <c r="AD35"/>
  <c r="AI35" i="14"/>
  <c r="AD35"/>
  <c r="L34" i="8"/>
  <c r="V33"/>
  <c r="W33"/>
  <c r="AE35" i="13" l="1"/>
  <c r="AL35"/>
  <c r="AM35"/>
  <c r="AJ35"/>
  <c r="AJ35" i="14"/>
  <c r="AM35"/>
  <c r="AE35"/>
  <c r="AL35"/>
  <c r="T34" i="8"/>
  <c r="M34"/>
  <c r="N34" s="1"/>
  <c r="U34"/>
  <c r="AN35" i="13" l="1"/>
  <c r="AA36" s="1"/>
  <c r="AF35"/>
  <c r="AK35"/>
  <c r="AO35"/>
  <c r="AN35" i="14"/>
  <c r="AA36" s="1"/>
  <c r="AF35"/>
  <c r="AK35"/>
  <c r="AO35"/>
  <c r="V34" i="8"/>
  <c r="L35"/>
  <c r="W34"/>
  <c r="AD36" i="13" l="1"/>
  <c r="AI36"/>
  <c r="AD36" i="14"/>
  <c r="AI36"/>
  <c r="M35" i="8"/>
  <c r="N35" s="1"/>
  <c r="T35"/>
  <c r="U35"/>
  <c r="AE36" i="13" l="1"/>
  <c r="AL36"/>
  <c r="AM36"/>
  <c r="AJ36"/>
  <c r="AE36" i="14"/>
  <c r="AF36" s="1"/>
  <c r="B15" s="1"/>
  <c r="AL36"/>
  <c r="AM36"/>
  <c r="AJ36"/>
  <c r="L36" i="8"/>
  <c r="V35"/>
  <c r="W35"/>
  <c r="AK36" i="13" l="1"/>
  <c r="C15" s="1"/>
  <c r="AO36"/>
  <c r="AN36"/>
  <c r="AF36"/>
  <c r="B15" s="1"/>
  <c r="AN36" i="14"/>
  <c r="AK36"/>
  <c r="C15" s="1"/>
  <c r="AO36"/>
  <c r="T36" i="8"/>
  <c r="M36"/>
  <c r="N36" s="1"/>
  <c r="B14" s="1"/>
  <c r="D14" s="1"/>
  <c r="U36"/>
  <c r="D15" i="13" l="1"/>
  <c r="C17" s="1"/>
  <c r="D15" i="14"/>
  <c r="E14" i="8"/>
  <c r="F14"/>
  <c r="C17"/>
  <c r="V36"/>
  <c r="W36"/>
  <c r="E15" i="13" l="1"/>
  <c r="F15"/>
  <c r="C17" i="14"/>
  <c r="E15"/>
  <c r="F15"/>
</calcChain>
</file>

<file path=xl/sharedStrings.xml><?xml version="1.0" encoding="utf-8"?>
<sst xmlns="http://schemas.openxmlformats.org/spreadsheetml/2006/main" count="625" uniqueCount="144">
  <si>
    <t>Year</t>
  </si>
  <si>
    <t>Total</t>
  </si>
  <si>
    <t>Annual</t>
  </si>
  <si>
    <t>investment</t>
  </si>
  <si>
    <t>Monthly</t>
  </si>
  <si>
    <t>decrease each year</t>
  </si>
  <si>
    <t>% increase or</t>
  </si>
  <si>
    <t>monthly contribution in 1st year</t>
  </si>
  <si>
    <t>Sensex</t>
  </si>
  <si>
    <t xml:space="preserve">return </t>
  </si>
  <si>
    <t>Choose a starting year between</t>
  </si>
  <si>
    <t>and</t>
  </si>
  <si>
    <t>Starting year</t>
  </si>
  <si>
    <t>return</t>
  </si>
  <si>
    <t>Year of</t>
  </si>
  <si>
    <t>Enter data only in green cells</t>
  </si>
  <si>
    <t>Note 35% returns listed against 1980 actually is the return</t>
  </si>
  <si>
    <t>generated in the financial year 1980-1981</t>
  </si>
  <si>
    <t>Enter no of years (max 32)</t>
  </si>
  <si>
    <t>% in equities</t>
  </si>
  <si>
    <t>% in FDs</t>
  </si>
  <si>
    <t>FD</t>
  </si>
  <si>
    <t>Total must be 100%</t>
  </si>
  <si>
    <t>Equity</t>
  </si>
  <si>
    <t>Debt</t>
  </si>
  <si>
    <t>no rebalancing</t>
  </si>
  <si>
    <t>Equity corpus</t>
  </si>
  <si>
    <t>Debt Corpus</t>
  </si>
  <si>
    <t>Total corpus</t>
  </si>
  <si>
    <t>% Equity</t>
  </si>
  <si>
    <t>%Debt</t>
  </si>
  <si>
    <t>annual rebalancing</t>
  </si>
  <si>
    <t>No Rebalancing</t>
  </si>
  <si>
    <t>Annual Rebalancing</t>
  </si>
  <si>
    <t>Total Corpus</t>
  </si>
  <si>
    <t>Lumpsum investment</t>
  </si>
  <si>
    <t>Investment</t>
  </si>
  <si>
    <t>Total Equity</t>
  </si>
  <si>
    <t>Total FD</t>
  </si>
  <si>
    <t>Rebalancing with 30% equity and 70% debt</t>
  </si>
  <si>
    <t>This is an illustration of portfolio rebalancing as found at</t>
  </si>
  <si>
    <t>http://www.jagoinvestor.com/2008/07/portfolio-rebalancing-today-i-am-going.html</t>
  </si>
  <si>
    <t>An investment of 1 lakhs is considered. Of this 30% is invested in equity and 70% in debt instruments</t>
  </si>
  <si>
    <t xml:space="preserve">In this case the rebalanced porfolio has done better. </t>
  </si>
  <si>
    <t>% difference bet the two corpuses</t>
  </si>
  <si>
    <t>start year</t>
  </si>
  <si>
    <t>% diff bet the corpuses</t>
  </si>
  <si>
    <t xml:space="preserve">SIP amt </t>
  </si>
  <si>
    <t>duration 10 years</t>
  </si>
  <si>
    <t xml:space="preserve">equity </t>
  </si>
  <si>
    <t>debt</t>
  </si>
  <si>
    <t>Lumpsum investment of 100000</t>
  </si>
  <si>
    <t>Average</t>
  </si>
  <si>
    <t>Std Dev</t>
  </si>
  <si>
    <t>is 9% higher than the folio with no rebalancing. For SIP invesments it is 5% higher.</t>
  </si>
  <si>
    <t>The standard deviation for lumpsum investment is 12% which means the spead in individuals nos is higher</t>
  </si>
  <si>
    <t>Enter a rate of inflation during retirement</t>
  </si>
  <si>
    <t>Enter the pension amt which will cover monthly expenses</t>
  </si>
  <si>
    <t>(enter present expenses to try)</t>
  </si>
  <si>
    <t>No of years corpus will last</t>
  </si>
  <si>
    <t>rate of interest you expect corpus to earn during retirement</t>
  </si>
  <si>
    <t>+ve % means rebalanced portfolio is higher</t>
  </si>
  <si>
    <t>no of years rebalanced corpus will last longer</t>
  </si>
  <si>
    <t>inflation at 8%</t>
  </si>
  <si>
    <t>rate of inflation at 8%</t>
  </si>
  <si>
    <t>pension is 40000</t>
  </si>
  <si>
    <t>duration 20 years</t>
  </si>
  <si>
    <t>Although large % difference variations does not lead to a big differnece</t>
  </si>
  <si>
    <t>in the no of extra years rebalancing adds to the folio</t>
  </si>
  <si>
    <t>an average of 4 extra years is still significant</t>
  </si>
  <si>
    <t>I would think a % difference of less 5% should not make much</t>
  </si>
  <si>
    <t>of a difference to your financial goals</t>
  </si>
  <si>
    <t xml:space="preserve">However we are using historical data and you will know if </t>
  </si>
  <si>
    <t>rebalancing has a made a difference only if you do it</t>
  </si>
  <si>
    <t>A 5% higher corpus due to rebalancing a portfolio with SIP instruments is good</t>
  </si>
  <si>
    <t>But is it significant? This is tougher to answer.</t>
  </si>
  <si>
    <t>If during the process of goal planning you had taken precautions to</t>
  </si>
  <si>
    <t xml:space="preserve">underestimate interest rates and overestimate inflation </t>
  </si>
  <si>
    <t>your extimated corpus is likely to be lower than the corpus obtained</t>
  </si>
  <si>
    <t>with no rebalancing. If so you don’t care about rebalancing</t>
  </si>
  <si>
    <t>1. Equity returns assumed are historical sensex returns computed for each financial year</t>
  </si>
  <si>
    <t>2. Debt returns are historcial FD returns from RBI website</t>
  </si>
  <si>
    <t>3. The last few debt returns (in red) have been added by hand as I could not get hold of actual data</t>
  </si>
  <si>
    <t xml:space="preserve">* If the direct tax code comes to effect long term equity investments will also become taxable </t>
  </si>
  <si>
    <t>Is rebalancing crucial? It can be most times. The most important thing is what is your expected corpus for a goal. If this amount</t>
  </si>
  <si>
    <t>is lower then the corpus achieved with no rebalancing than your goal can be achieved.</t>
  </si>
  <si>
    <t>As expected benefits of rebalancing are higher for lumpsum investments. On an average the rebalanced portfolio</t>
  </si>
  <si>
    <t>There is no way to know unless you rebalance so might as well give it a shot. It can’t hurt!</t>
  </si>
  <si>
    <t>It certainly can't hurt and is most likely to benefit you</t>
  </si>
  <si>
    <t>In this example the rebalanced portfolio is 7% higher. A difference of greater than 5% can be taken as significant.</t>
  </si>
  <si>
    <t>However there is no way of knowing this.  Have a look at the sample data. It seems advantageous more often to rebalance</t>
  </si>
  <si>
    <t>No Rebalancing. No futher changes are then made. The money is allowed to grow.</t>
  </si>
  <si>
    <t>Each year 30% of total corpus earned is invested in equity and 70% in debt irrespective of returns earned the previous year</t>
  </si>
  <si>
    <t>Examples are availabe in the 'Sample Data and analysis sheet'</t>
  </si>
  <si>
    <t>longer the duration higher is the benefit of rebalancing: 18% avg for 20 years compared to 5% for 10 years (more data though)</t>
  </si>
  <si>
    <t>Read me first</t>
  </si>
  <si>
    <t>invest. From</t>
  </si>
  <si>
    <t>Previous</t>
  </si>
  <si>
    <t>year</t>
  </si>
  <si>
    <t>Corpus</t>
  </si>
  <si>
    <t xml:space="preserve">Total Debt </t>
  </si>
  <si>
    <t>Asset Allocation</t>
  </si>
  <si>
    <t>Prior investment</t>
  </si>
  <si>
    <t>After investment</t>
  </si>
  <si>
    <t>After Investment</t>
  </si>
  <si>
    <t xml:space="preserve">Here we assume we are saving for retirment and detemine the no of years </t>
  </si>
  <si>
    <t>the corpus will last from both approaches</t>
  </si>
  <si>
    <t>previous</t>
  </si>
  <si>
    <t>After Investment.</t>
  </si>
  <si>
    <t>Before investment</t>
  </si>
  <si>
    <t>None</t>
  </si>
  <si>
    <t>Frequency of rebalancing: Every</t>
  </si>
  <si>
    <t>Years</t>
  </si>
  <si>
    <t>Rebalance only if equity deviates by (%)</t>
  </si>
  <si>
    <t>0% is the same as annual rebalancing</t>
  </si>
  <si>
    <t>Typically 3-5% or so</t>
  </si>
  <si>
    <t>Move from equity to debt only if equity allocation increases by (%)</t>
  </si>
  <si>
    <t>0% is the same as no rebalancing</t>
  </si>
  <si>
    <t>% difference</t>
  </si>
  <si>
    <t>Click on the macro to find out the % difference</t>
  </si>
  <si>
    <t xml:space="preserve">between the two corpuses for all possible </t>
  </si>
  <si>
    <t>investment durations between</t>
  </si>
  <si>
    <t>+ve means rebalanced portfolio is higher</t>
  </si>
  <si>
    <t>Average % difference bet. Corpuses</t>
  </si>
  <si>
    <t>Average no of additional years the rebalanced corpus will last</t>
  </si>
  <si>
    <t>Additional years</t>
  </si>
  <si>
    <t>% in FDs (debt)</t>
  </si>
  <si>
    <t>Average % difference bet the two corpuses</t>
  </si>
  <si>
    <t>with rebalancing</t>
  </si>
  <si>
    <t>without  rebalancing</t>
  </si>
  <si>
    <t>% increase or decrease each year</t>
  </si>
  <si>
    <t>The % equity and debt shown here represents the final asset allocation</t>
  </si>
  <si>
    <t>if started at</t>
  </si>
  <si>
    <t>4. Rebalancing a porfolio may involve transaction costs especially in SIP mode if the holding period of equity is less than an year</t>
  </si>
  <si>
    <t>5. Debt instruments are taxable* so the final corpus will be lower in both cases and this tax may impact the benefit of rebalancing</t>
  </si>
  <si>
    <t>6. The rebalancing shown here is done during the growth phase of the portfolio when the goal if far away</t>
  </si>
  <si>
    <t>7. Close to goal (2-3 year) the equity component will be gradually or abruptly decreased and pushed to debt</t>
  </si>
  <si>
    <t>8. The above step does not constitute rebalancing is the sense that it is usually used</t>
  </si>
  <si>
    <t>9. The tool is only an indicator you would need to make a suitable choice depending on your personal situation.</t>
  </si>
  <si>
    <t>Annual CAGR</t>
  </si>
  <si>
    <t>No</t>
  </si>
  <si>
    <t>Rebalancing</t>
  </si>
  <si>
    <t>With</t>
  </si>
  <si>
    <t>CAGR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</si>
</sst>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1"/>
      <color indexed="2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9" fontId="0" fillId="0" borderId="0" xfId="1" applyFont="1"/>
    <xf numFmtId="0" fontId="2" fillId="0" borderId="0" xfId="0" applyFont="1"/>
    <xf numFmtId="1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quotePrefix="1" applyBorder="1"/>
    <xf numFmtId="0" fontId="0" fillId="0" borderId="6" xfId="0" applyFill="1" applyBorder="1"/>
    <xf numFmtId="0" fontId="2" fillId="4" borderId="9" xfId="0" applyFont="1" applyFill="1" applyBorder="1"/>
    <xf numFmtId="0" fontId="0" fillId="4" borderId="9" xfId="0" applyFill="1" applyBorder="1"/>
    <xf numFmtId="9" fontId="0" fillId="4" borderId="9" xfId="1" applyFont="1" applyFill="1" applyBorder="1"/>
    <xf numFmtId="1" fontId="0" fillId="4" borderId="9" xfId="1" applyNumberFormat="1" applyFont="1" applyFill="1" applyBorder="1"/>
    <xf numFmtId="164" fontId="0" fillId="4" borderId="9" xfId="1" applyNumberFormat="1" applyFont="1" applyFill="1" applyBorder="1"/>
    <xf numFmtId="0" fontId="2" fillId="5" borderId="9" xfId="0" applyFont="1" applyFill="1" applyBorder="1"/>
    <xf numFmtId="0" fontId="0" fillId="5" borderId="9" xfId="0" applyFill="1" applyBorder="1"/>
    <xf numFmtId="9" fontId="0" fillId="5" borderId="9" xfId="1" applyFont="1" applyFill="1" applyBorder="1"/>
    <xf numFmtId="1" fontId="0" fillId="5" borderId="9" xfId="1" applyNumberFormat="1" applyFont="1" applyFill="1" applyBorder="1"/>
    <xf numFmtId="164" fontId="0" fillId="5" borderId="9" xfId="1" applyNumberFormat="1" applyFont="1" applyFill="1" applyBorder="1"/>
    <xf numFmtId="9" fontId="0" fillId="5" borderId="9" xfId="1" applyNumberFormat="1" applyFont="1" applyFill="1" applyBorder="1"/>
    <xf numFmtId="1" fontId="0" fillId="0" borderId="0" xfId="1" applyNumberFormat="1" applyFont="1" applyFill="1" applyBorder="1"/>
    <xf numFmtId="9" fontId="0" fillId="0" borderId="0" xfId="1" applyFont="1" applyFill="1" applyBorder="1"/>
    <xf numFmtId="0" fontId="0" fillId="0" borderId="0" xfId="0" applyFill="1" applyBorder="1"/>
    <xf numFmtId="9" fontId="0" fillId="0" borderId="0" xfId="1" applyNumberFormat="1" applyFont="1" applyFill="1" applyBorder="1"/>
    <xf numFmtId="0" fontId="0" fillId="6" borderId="9" xfId="0" applyFill="1" applyBorder="1"/>
    <xf numFmtId="9" fontId="0" fillId="6" borderId="9" xfId="1" applyFont="1" applyFill="1" applyBorder="1"/>
    <xf numFmtId="3" fontId="2" fillId="6" borderId="9" xfId="0" applyNumberFormat="1" applyFont="1" applyFill="1" applyBorder="1"/>
    <xf numFmtId="3" fontId="0" fillId="6" borderId="9" xfId="0" applyNumberFormat="1" applyFont="1" applyFill="1" applyBorder="1"/>
    <xf numFmtId="9" fontId="0" fillId="0" borderId="0" xfId="0" applyNumberFormat="1"/>
    <xf numFmtId="1" fontId="2" fillId="7" borderId="9" xfId="1" applyNumberFormat="1" applyFont="1" applyFill="1" applyBorder="1"/>
    <xf numFmtId="9" fontId="2" fillId="3" borderId="9" xfId="1" applyFont="1" applyFill="1" applyBorder="1"/>
    <xf numFmtId="9" fontId="2" fillId="0" borderId="0" xfId="1" applyFont="1" applyFill="1" applyBorder="1"/>
    <xf numFmtId="0" fontId="2" fillId="0" borderId="9" xfId="0" applyFont="1" applyBorder="1"/>
    <xf numFmtId="0" fontId="0" fillId="0" borderId="9" xfId="0" applyBorder="1"/>
    <xf numFmtId="0" fontId="2" fillId="0" borderId="0" xfId="0" quotePrefix="1" applyFont="1"/>
    <xf numFmtId="0" fontId="2" fillId="0" borderId="0" xfId="0" applyFont="1" applyFill="1" applyBorder="1"/>
    <xf numFmtId="10" fontId="2" fillId="0" borderId="0" xfId="0" applyNumberFormat="1" applyFont="1" applyFill="1" applyBorder="1"/>
    <xf numFmtId="0" fontId="0" fillId="0" borderId="0" xfId="0" quotePrefix="1" applyFill="1" applyBorder="1"/>
    <xf numFmtId="0" fontId="0" fillId="8" borderId="9" xfId="0" applyFill="1" applyBorder="1"/>
    <xf numFmtId="1" fontId="0" fillId="8" borderId="9" xfId="0" applyNumberFormat="1" applyFill="1" applyBorder="1"/>
    <xf numFmtId="0" fontId="2" fillId="8" borderId="9" xfId="0" applyFont="1" applyFill="1" applyBorder="1"/>
    <xf numFmtId="1" fontId="2" fillId="8" borderId="9" xfId="0" applyNumberFormat="1" applyFont="1" applyFill="1" applyBorder="1" applyAlignment="1">
      <alignment horizontal="center"/>
    </xf>
    <xf numFmtId="9" fontId="0" fillId="8" borderId="9" xfId="0" applyNumberFormat="1" applyFill="1" applyBorder="1"/>
    <xf numFmtId="9" fontId="0" fillId="8" borderId="9" xfId="1" applyFont="1" applyFill="1" applyBorder="1"/>
    <xf numFmtId="9" fontId="0" fillId="5" borderId="9" xfId="0" applyNumberFormat="1" applyFill="1" applyBorder="1"/>
    <xf numFmtId="10" fontId="0" fillId="5" borderId="9" xfId="0" applyNumberFormat="1" applyFill="1" applyBorder="1"/>
    <xf numFmtId="0" fontId="0" fillId="9" borderId="9" xfId="0" applyFill="1" applyBorder="1"/>
    <xf numFmtId="9" fontId="0" fillId="9" borderId="9" xfId="0" applyNumberFormat="1" applyFill="1" applyBorder="1"/>
    <xf numFmtId="9" fontId="2" fillId="0" borderId="9" xfId="0" applyNumberFormat="1" applyFont="1" applyBorder="1"/>
    <xf numFmtId="0" fontId="0" fillId="2" borderId="9" xfId="0" applyFill="1" applyBorder="1"/>
    <xf numFmtId="9" fontId="0" fillId="2" borderId="9" xfId="0" applyNumberFormat="1" applyFill="1" applyBorder="1"/>
    <xf numFmtId="9" fontId="0" fillId="2" borderId="9" xfId="0" applyNumberFormat="1" applyFont="1" applyFill="1" applyBorder="1"/>
    <xf numFmtId="0" fontId="0" fillId="2" borderId="9" xfId="0" applyFont="1" applyFill="1" applyBorder="1"/>
    <xf numFmtId="9" fontId="0" fillId="0" borderId="0" xfId="0" applyNumberFormat="1" applyFill="1" applyBorder="1"/>
    <xf numFmtId="1" fontId="0" fillId="8" borderId="9" xfId="1" applyNumberFormat="1" applyFont="1" applyFill="1" applyBorder="1"/>
    <xf numFmtId="164" fontId="0" fillId="8" borderId="9" xfId="1" applyNumberFormat="1" applyFont="1" applyFill="1" applyBorder="1"/>
    <xf numFmtId="2" fontId="1" fillId="0" borderId="0" xfId="1" applyNumberFormat="1" applyFont="1" applyFill="1" applyBorder="1"/>
    <xf numFmtId="0" fontId="2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5" fontId="2" fillId="5" borderId="9" xfId="0" applyNumberFormat="1" applyFont="1" applyFill="1" applyBorder="1" applyAlignment="1">
      <alignment horizontal="center"/>
    </xf>
    <xf numFmtId="9" fontId="0" fillId="5" borderId="9" xfId="1" applyFont="1" applyFill="1" applyBorder="1" applyAlignment="1">
      <alignment horizontal="center"/>
    </xf>
    <xf numFmtId="1" fontId="0" fillId="5" borderId="9" xfId="1" applyNumberFormat="1" applyFont="1" applyFill="1" applyBorder="1" applyAlignment="1">
      <alignment horizontal="center"/>
    </xf>
    <xf numFmtId="164" fontId="0" fillId="5" borderId="9" xfId="1" applyNumberFormat="1" applyFont="1" applyFill="1" applyBorder="1" applyAlignment="1">
      <alignment horizontal="center"/>
    </xf>
    <xf numFmtId="9" fontId="0" fillId="5" borderId="9" xfId="1" applyNumberFormat="1" applyFont="1" applyFill="1" applyBorder="1" applyAlignment="1">
      <alignment horizontal="center"/>
    </xf>
    <xf numFmtId="164" fontId="3" fillId="5" borderId="9" xfId="1" applyNumberFormat="1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15" fontId="2" fillId="11" borderId="9" xfId="0" applyNumberFormat="1" applyFont="1" applyFill="1" applyBorder="1" applyAlignment="1">
      <alignment horizontal="center"/>
    </xf>
    <xf numFmtId="9" fontId="0" fillId="11" borderId="9" xfId="1" applyFont="1" applyFill="1" applyBorder="1" applyAlignment="1">
      <alignment horizontal="center"/>
    </xf>
    <xf numFmtId="1" fontId="0" fillId="11" borderId="9" xfId="1" applyNumberFormat="1" applyFont="1" applyFill="1" applyBorder="1" applyAlignment="1">
      <alignment horizontal="center"/>
    </xf>
    <xf numFmtId="164" fontId="0" fillId="11" borderId="9" xfId="1" applyNumberFormat="1" applyFont="1" applyFill="1" applyBorder="1" applyAlignment="1">
      <alignment horizontal="center"/>
    </xf>
    <xf numFmtId="9" fontId="0" fillId="11" borderId="9" xfId="1" applyNumberFormat="1" applyFont="1" applyFill="1" applyBorder="1" applyAlignment="1">
      <alignment horizontal="center"/>
    </xf>
    <xf numFmtId="164" fontId="3" fillId="11" borderId="9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5" fontId="2" fillId="4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9" fontId="0" fillId="4" borderId="9" xfId="1" applyFont="1" applyFill="1" applyBorder="1" applyAlignment="1">
      <alignment horizontal="center"/>
    </xf>
    <xf numFmtId="1" fontId="0" fillId="4" borderId="9" xfId="1" applyNumberFormat="1" applyFont="1" applyFill="1" applyBorder="1" applyAlignment="1">
      <alignment horizontal="center"/>
    </xf>
    <xf numFmtId="164" fontId="0" fillId="4" borderId="9" xfId="1" applyNumberFormat="1" applyFont="1" applyFill="1" applyBorder="1" applyAlignment="1">
      <alignment horizontal="center"/>
    </xf>
    <xf numFmtId="9" fontId="0" fillId="4" borderId="9" xfId="1" applyNumberFormat="1" applyFont="1" applyFill="1" applyBorder="1" applyAlignment="1">
      <alignment horizontal="center"/>
    </xf>
    <xf numFmtId="164" fontId="3" fillId="4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9" fontId="2" fillId="13" borderId="9" xfId="1" applyFont="1" applyFill="1" applyBorder="1"/>
    <xf numFmtId="0" fontId="2" fillId="13" borderId="9" xfId="0" applyFont="1" applyFill="1" applyBorder="1"/>
    <xf numFmtId="0" fontId="0" fillId="13" borderId="9" xfId="0" applyFill="1" applyBorder="1" applyAlignment="1">
      <alignment horizontal="center"/>
    </xf>
    <xf numFmtId="0" fontId="0" fillId="0" borderId="9" xfId="0" applyFill="1" applyBorder="1"/>
    <xf numFmtId="0" fontId="2" fillId="13" borderId="13" xfId="0" applyFont="1" applyFill="1" applyBorder="1"/>
    <xf numFmtId="0" fontId="2" fillId="3" borderId="9" xfId="0" applyFont="1" applyFill="1" applyBorder="1"/>
    <xf numFmtId="0" fontId="0" fillId="0" borderId="0" xfId="0" applyFont="1" applyAlignment="1">
      <alignment horizontal="center"/>
    </xf>
    <xf numFmtId="9" fontId="2" fillId="13" borderId="9" xfId="1" applyFont="1" applyFill="1" applyBorder="1" applyAlignment="1">
      <alignment horizontal="center"/>
    </xf>
    <xf numFmtId="9" fontId="2" fillId="3" borderId="9" xfId="1" applyFont="1" applyFill="1" applyBorder="1" applyAlignment="1">
      <alignment horizontal="center"/>
    </xf>
    <xf numFmtId="0" fontId="0" fillId="0" borderId="15" xfId="0" applyBorder="1"/>
    <xf numFmtId="0" fontId="2" fillId="13" borderId="15" xfId="0" applyFont="1" applyFill="1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14" xfId="0" applyBorder="1" applyAlignment="1"/>
    <xf numFmtId="0" fontId="0" fillId="0" borderId="0" xfId="0" applyBorder="1" applyAlignment="1"/>
    <xf numFmtId="0" fontId="2" fillId="4" borderId="11" xfId="0" applyFont="1" applyFill="1" applyBorder="1"/>
    <xf numFmtId="9" fontId="0" fillId="4" borderId="11" xfId="1" applyNumberFormat="1" applyFont="1" applyFill="1" applyBorder="1"/>
    <xf numFmtId="0" fontId="2" fillId="11" borderId="9" xfId="0" applyFont="1" applyFill="1" applyBorder="1"/>
    <xf numFmtId="0" fontId="0" fillId="11" borderId="9" xfId="0" applyFill="1" applyBorder="1"/>
    <xf numFmtId="9" fontId="0" fillId="11" borderId="9" xfId="1" applyFont="1" applyFill="1" applyBorder="1"/>
    <xf numFmtId="0" fontId="0" fillId="0" borderId="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12" borderId="3" xfId="0" applyFill="1" applyBorder="1"/>
    <xf numFmtId="0" fontId="0" fillId="12" borderId="5" xfId="0" applyFill="1" applyBorder="1"/>
    <xf numFmtId="0" fontId="0" fillId="12" borderId="8" xfId="0" applyFill="1" applyBorder="1"/>
    <xf numFmtId="2" fontId="0" fillId="0" borderId="9" xfId="1" applyNumberFormat="1" applyFont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0" fillId="0" borderId="16" xfId="0" applyBorder="1"/>
    <xf numFmtId="164" fontId="2" fillId="14" borderId="13" xfId="0" applyNumberFormat="1" applyFont="1" applyFill="1" applyBorder="1" applyAlignment="1">
      <alignment horizontal="center"/>
    </xf>
    <xf numFmtId="2" fontId="2" fillId="14" borderId="9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3" xfId="0" applyFill="1" applyBorder="1"/>
    <xf numFmtId="0" fontId="0" fillId="9" borderId="0" xfId="0" applyFill="1" applyBorder="1"/>
    <xf numFmtId="0" fontId="0" fillId="9" borderId="5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7" xfId="0" applyFill="1" applyBorder="1" applyAlignment="1">
      <alignment horizontal="center"/>
    </xf>
    <xf numFmtId="0" fontId="0" fillId="15" borderId="2" xfId="0" applyFill="1" applyBorder="1"/>
    <xf numFmtId="0" fontId="0" fillId="15" borderId="0" xfId="0" applyFill="1" applyBorder="1"/>
    <xf numFmtId="0" fontId="0" fillId="15" borderId="7" xfId="0" applyFill="1" applyBorder="1" applyAlignment="1">
      <alignment horizontal="center"/>
    </xf>
    <xf numFmtId="0" fontId="0" fillId="15" borderId="7" xfId="0" applyFill="1" applyBorder="1"/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8" borderId="9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9" fontId="0" fillId="6" borderId="9" xfId="1" applyFont="1" applyFill="1" applyBorder="1" applyAlignment="1">
      <alignment horizontal="center"/>
    </xf>
    <xf numFmtId="164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5" borderId="3" xfId="0" applyFill="1" applyBorder="1"/>
    <xf numFmtId="0" fontId="0" fillId="15" borderId="5" xfId="0" applyFill="1" applyBorder="1"/>
    <xf numFmtId="0" fontId="0" fillId="15" borderId="8" xfId="0" applyFill="1" applyBorder="1"/>
    <xf numFmtId="9" fontId="0" fillId="0" borderId="9" xfId="1" applyFont="1" applyFill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9" fontId="2" fillId="8" borderId="9" xfId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9" fontId="0" fillId="0" borderId="5" xfId="1" applyFont="1" applyBorder="1"/>
    <xf numFmtId="9" fontId="0" fillId="0" borderId="5" xfId="1" applyFont="1" applyFill="1" applyBorder="1"/>
    <xf numFmtId="0" fontId="0" fillId="0" borderId="5" xfId="0" applyFill="1" applyBorder="1"/>
    <xf numFmtId="0" fontId="0" fillId="0" borderId="22" xfId="0" applyFont="1" applyFill="1" applyBorder="1" applyAlignment="1">
      <alignment horizontal="center"/>
    </xf>
    <xf numFmtId="10" fontId="2" fillId="0" borderId="5" xfId="0" applyNumberFormat="1" applyFont="1" applyFill="1" applyBorder="1"/>
    <xf numFmtId="0" fontId="0" fillId="0" borderId="22" xfId="0" quotePrefix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9" fontId="0" fillId="0" borderId="21" xfId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2" fillId="0" borderId="16" xfId="0" applyFont="1" applyBorder="1"/>
    <xf numFmtId="0" fontId="0" fillId="0" borderId="23" xfId="0" applyBorder="1"/>
    <xf numFmtId="0" fontId="0" fillId="0" borderId="24" xfId="0" applyBorder="1"/>
    <xf numFmtId="0" fontId="2" fillId="0" borderId="14" xfId="0" applyFont="1" applyBorder="1"/>
    <xf numFmtId="0" fontId="2" fillId="0" borderId="25" xfId="0" applyFont="1" applyBorder="1"/>
    <xf numFmtId="0" fontId="0" fillId="0" borderId="10" xfId="0" applyBorder="1"/>
    <xf numFmtId="0" fontId="0" fillId="0" borderId="26" xfId="0" applyBorder="1"/>
    <xf numFmtId="0" fontId="0" fillId="14" borderId="0" xfId="0" applyFill="1"/>
    <xf numFmtId="9" fontId="2" fillId="13" borderId="15" xfId="1" applyFont="1" applyFill="1" applyBorder="1"/>
    <xf numFmtId="0" fontId="2" fillId="13" borderId="27" xfId="0" applyFont="1" applyFill="1" applyBorder="1" applyAlignment="1">
      <alignment horizontal="center"/>
    </xf>
    <xf numFmtId="0" fontId="2" fillId="3" borderId="28" xfId="0" applyFont="1" applyFill="1" applyBorder="1"/>
    <xf numFmtId="0" fontId="2" fillId="14" borderId="9" xfId="0" applyFont="1" applyFill="1" applyBorder="1"/>
    <xf numFmtId="0" fontId="2" fillId="13" borderId="15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0" borderId="17" xfId="0" quotePrefix="1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0" fillId="0" borderId="0" xfId="0" applyFill="1"/>
    <xf numFmtId="164" fontId="0" fillId="0" borderId="0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9" xfId="0" applyFont="1" applyBorder="1"/>
    <xf numFmtId="10" fontId="0" fillId="6" borderId="9" xfId="1" applyNumberFormat="1" applyFont="1" applyFill="1" applyBorder="1"/>
    <xf numFmtId="165" fontId="0" fillId="5" borderId="9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color theme="9" tint="0.79998168889431442"/>
      </font>
    </dxf>
    <dxf>
      <font>
        <color theme="4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3" tint="0.79998168889431442"/>
      </font>
    </dxf>
    <dxf>
      <font>
        <color theme="9" tint="0.79998168889431442"/>
      </font>
    </dxf>
    <dxf>
      <font>
        <color theme="3" tint="0.79998168889431442"/>
      </font>
    </dxf>
    <dxf>
      <font>
        <color theme="9" tint="0.79998168889431442"/>
      </font>
    </dxf>
    <dxf>
      <font>
        <color theme="3" tint="0.79998168889431442"/>
      </font>
    </dxf>
    <dxf>
      <font>
        <color theme="9" tint="0.79998168889431442"/>
      </font>
    </dxf>
    <dxf>
      <font>
        <color theme="3" tint="0.7999816888943144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19</xdr:row>
      <xdr:rowOff>91440</xdr:rowOff>
    </xdr:from>
    <xdr:to>
      <xdr:col>2</xdr:col>
      <xdr:colOff>1120140</xdr:colOff>
      <xdr:row>19</xdr:row>
      <xdr:rowOff>99060</xdr:rowOff>
    </xdr:to>
    <xdr:cxnSp macro="">
      <xdr:nvCxnSpPr>
        <xdr:cNvPr id="3" name="Straight Arrow Connector 2"/>
        <xdr:cNvCxnSpPr/>
      </xdr:nvCxnSpPr>
      <xdr:spPr>
        <a:xfrm rot="10800000">
          <a:off x="2415540" y="3581400"/>
          <a:ext cx="1028700" cy="762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1"/>
  <sheetViews>
    <sheetView workbookViewId="0"/>
  </sheetViews>
  <sheetFormatPr defaultRowHeight="14.4"/>
  <sheetData>
    <row r="1" spans="1:1" s="2" customFormat="1">
      <c r="A1" s="2" t="s">
        <v>95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7"/>
  <sheetViews>
    <sheetView tabSelected="1" workbookViewId="0">
      <selection activeCell="A3" sqref="A3"/>
    </sheetView>
  </sheetViews>
  <sheetFormatPr defaultRowHeight="14.4"/>
  <cols>
    <col min="3" max="3" width="10.5546875" bestFit="1" customWidth="1"/>
    <col min="4" max="4" width="12" bestFit="1" customWidth="1"/>
    <col min="7" max="7" width="10.5546875" bestFit="1" customWidth="1"/>
    <col min="9" max="9" width="11.5546875" bestFit="1" customWidth="1"/>
    <col min="11" max="11" width="11.5546875" bestFit="1" customWidth="1"/>
    <col min="12" max="12" width="5.6640625" customWidth="1"/>
    <col min="13" max="13" width="10.109375" customWidth="1"/>
    <col min="14" max="14" width="10.5546875" bestFit="1" customWidth="1"/>
  </cols>
  <sheetData>
    <row r="1" spans="1:15">
      <c r="A1" s="2" t="s">
        <v>40</v>
      </c>
    </row>
    <row r="2" spans="1:15">
      <c r="A2" t="s">
        <v>41</v>
      </c>
    </row>
    <row r="3" spans="1:15">
      <c r="A3" s="190" t="s">
        <v>42</v>
      </c>
      <c r="B3" s="190"/>
      <c r="C3" s="190"/>
      <c r="D3" s="190"/>
      <c r="E3" s="190"/>
      <c r="F3" s="190"/>
      <c r="G3" s="190"/>
      <c r="H3" s="190"/>
      <c r="I3" s="190"/>
      <c r="L3" s="197" t="s">
        <v>101</v>
      </c>
      <c r="M3" s="197"/>
      <c r="N3" s="197"/>
      <c r="O3" s="197"/>
    </row>
    <row r="4" spans="1:15">
      <c r="A4" s="2" t="s">
        <v>91</v>
      </c>
      <c r="K4" s="2"/>
      <c r="L4" s="197" t="s">
        <v>109</v>
      </c>
      <c r="M4" s="197"/>
      <c r="N4" s="197" t="s">
        <v>108</v>
      </c>
      <c r="O4" s="197"/>
    </row>
    <row r="5" spans="1:15">
      <c r="A5" s="19" t="s">
        <v>0</v>
      </c>
      <c r="B5" s="19" t="s">
        <v>8</v>
      </c>
      <c r="C5" s="19" t="s">
        <v>3</v>
      </c>
      <c r="D5" s="19" t="s">
        <v>37</v>
      </c>
      <c r="F5" s="19" t="s">
        <v>21</v>
      </c>
      <c r="G5" s="19" t="s">
        <v>3</v>
      </c>
      <c r="H5" s="19" t="s">
        <v>38</v>
      </c>
      <c r="I5" s="19" t="s">
        <v>34</v>
      </c>
      <c r="J5" s="19" t="s">
        <v>23</v>
      </c>
      <c r="K5" s="19" t="s">
        <v>24</v>
      </c>
      <c r="L5" s="19" t="s">
        <v>23</v>
      </c>
      <c r="M5" s="19" t="s">
        <v>24</v>
      </c>
      <c r="N5" s="19" t="s">
        <v>23</v>
      </c>
      <c r="O5" s="19" t="s">
        <v>24</v>
      </c>
    </row>
    <row r="6" spans="1:15">
      <c r="A6" s="20"/>
      <c r="B6" s="19" t="s">
        <v>9</v>
      </c>
      <c r="C6" s="19"/>
      <c r="D6" s="20"/>
      <c r="F6" s="19" t="s">
        <v>13</v>
      </c>
      <c r="G6" s="19"/>
      <c r="H6" s="19"/>
      <c r="I6" s="19"/>
      <c r="J6" s="19"/>
      <c r="K6" s="19"/>
      <c r="L6" s="20"/>
      <c r="M6" s="20"/>
      <c r="N6" s="20"/>
      <c r="O6" s="20"/>
    </row>
    <row r="7" spans="1:15">
      <c r="A7" s="20">
        <v>1</v>
      </c>
      <c r="B7" s="21">
        <v>0.3</v>
      </c>
      <c r="C7" s="22">
        <v>30000</v>
      </c>
      <c r="D7" s="20">
        <f t="shared" ref="D7" si="0">IF(A7=0,0,(C7+D6)*(1+B7))</f>
        <v>39000</v>
      </c>
      <c r="F7" s="23">
        <v>0.09</v>
      </c>
      <c r="G7" s="22">
        <v>70000</v>
      </c>
      <c r="H7" s="22">
        <f>IF(A7=0,0,(G7+H6)*(1+F7))</f>
        <v>76300</v>
      </c>
      <c r="I7" s="22">
        <f>D7+H7</f>
        <v>115300</v>
      </c>
      <c r="J7" s="21">
        <f>IF(A7=0,0,D7/(D7+H7))</f>
        <v>0.33824804856895058</v>
      </c>
      <c r="K7" s="24">
        <f>IF(A7=0,0,H7/(D7+H7))</f>
        <v>0.66175195143104948</v>
      </c>
      <c r="L7" s="21">
        <f>C7/(C7+G7)</f>
        <v>0.3</v>
      </c>
      <c r="M7" s="21">
        <f>G7/(C7+G7)</f>
        <v>0.7</v>
      </c>
      <c r="N7" s="21">
        <f>D7/I7</f>
        <v>0.33824804856895058</v>
      </c>
      <c r="O7" s="21">
        <f>H7/I7</f>
        <v>0.66175195143104948</v>
      </c>
    </row>
    <row r="8" spans="1:15">
      <c r="A8" s="20">
        <v>2</v>
      </c>
      <c r="B8" s="21">
        <v>-0.35</v>
      </c>
      <c r="C8" s="22">
        <f>IF(A8=0,0,(D7))</f>
        <v>39000</v>
      </c>
      <c r="D8" s="20">
        <f>IF(A8=0,0,(C8)*(1+B8))</f>
        <v>25350</v>
      </c>
      <c r="F8" s="23">
        <v>0.09</v>
      </c>
      <c r="G8" s="22">
        <f>IF(A8=0,0,(H7) )</f>
        <v>76300</v>
      </c>
      <c r="H8" s="22">
        <f>IF(A8=0,0,(G8)*(1+F8))</f>
        <v>83167</v>
      </c>
      <c r="I8" s="22">
        <f>D8+H8</f>
        <v>108517</v>
      </c>
      <c r="J8" s="21">
        <f>IF(A8=0,0,D8/(D8+H8))</f>
        <v>0.2336039514546108</v>
      </c>
      <c r="K8" s="24">
        <f>IF(A8=0,0,H8/(D8+H8))</f>
        <v>0.76639604854538923</v>
      </c>
      <c r="L8" s="21">
        <f t="shared" ref="L8:L11" si="1">C8/(C8+G8)</f>
        <v>0.33824804856895058</v>
      </c>
      <c r="M8" s="21">
        <f t="shared" ref="M8:M11" si="2">G8/(C8+G8)</f>
        <v>0.66175195143104948</v>
      </c>
      <c r="N8" s="21">
        <f t="shared" ref="N8:N11" si="3">D8/I8</f>
        <v>0.2336039514546108</v>
      </c>
      <c r="O8" s="21">
        <f t="shared" ref="O8:O11" si="4">H8/I8</f>
        <v>0.76639604854538923</v>
      </c>
    </row>
    <row r="9" spans="1:15">
      <c r="A9" s="20">
        <v>3</v>
      </c>
      <c r="B9" s="21">
        <v>0.4</v>
      </c>
      <c r="C9" s="22">
        <f t="shared" ref="C9:C11" si="5">IF(A9=0,0,(D8))</f>
        <v>25350</v>
      </c>
      <c r="D9" s="20">
        <f t="shared" ref="D9:D11" si="6">IF(A9=0,0,(C9)*(1+B9))</f>
        <v>35490</v>
      </c>
      <c r="F9" s="23">
        <v>0.09</v>
      </c>
      <c r="G9" s="22">
        <f>IF(A9=0,0,(H8) )</f>
        <v>83167</v>
      </c>
      <c r="H9" s="22">
        <f>IF(A9=0,0,(G9)*(1+F9))</f>
        <v>90652.030000000013</v>
      </c>
      <c r="I9" s="22">
        <f>D9+H9</f>
        <v>126142.03000000001</v>
      </c>
      <c r="J9" s="21">
        <f>IF(A9=0,0,D9/(D9+H9))</f>
        <v>0.28134952323186807</v>
      </c>
      <c r="K9" s="24">
        <f>IF(A9=0,0,H9/(D9+H9))</f>
        <v>0.71865047676813198</v>
      </c>
      <c r="L9" s="21">
        <f t="shared" si="1"/>
        <v>0.2336039514546108</v>
      </c>
      <c r="M9" s="21">
        <f t="shared" si="2"/>
        <v>0.76639604854538923</v>
      </c>
      <c r="N9" s="21">
        <f t="shared" si="3"/>
        <v>0.28134952323186807</v>
      </c>
      <c r="O9" s="21">
        <f t="shared" si="4"/>
        <v>0.71865047676813198</v>
      </c>
    </row>
    <row r="10" spans="1:15">
      <c r="A10" s="20">
        <v>4</v>
      </c>
      <c r="B10" s="21">
        <v>0.6</v>
      </c>
      <c r="C10" s="22">
        <f t="shared" si="5"/>
        <v>35490</v>
      </c>
      <c r="D10" s="20">
        <f t="shared" si="6"/>
        <v>56784</v>
      </c>
      <c r="F10" s="23">
        <v>0.09</v>
      </c>
      <c r="G10" s="22">
        <f>IF(A10=0,0,(H9) )</f>
        <v>90652.030000000013</v>
      </c>
      <c r="H10" s="22">
        <f>IF(A10=0,0,(G10)*(1+F10))</f>
        <v>98810.712700000018</v>
      </c>
      <c r="I10" s="22">
        <f>D10+H10</f>
        <v>155594.71270000003</v>
      </c>
      <c r="J10" s="21">
        <f>IF(A10=0,0,D10/(D10+H10))</f>
        <v>0.36494813361354012</v>
      </c>
      <c r="K10" s="24">
        <f>IF(A10=0,0,H10/(D10+H10))</f>
        <v>0.63505186638645983</v>
      </c>
      <c r="L10" s="21">
        <f t="shared" si="1"/>
        <v>0.28134952323186807</v>
      </c>
      <c r="M10" s="21">
        <f t="shared" si="2"/>
        <v>0.71865047676813198</v>
      </c>
      <c r="N10" s="21">
        <f t="shared" si="3"/>
        <v>0.36494813361354012</v>
      </c>
      <c r="O10" s="21">
        <f t="shared" si="4"/>
        <v>0.63505186638645983</v>
      </c>
    </row>
    <row r="11" spans="1:15">
      <c r="A11" s="20">
        <v>5</v>
      </c>
      <c r="B11" s="21">
        <v>-0.3</v>
      </c>
      <c r="C11" s="22">
        <f t="shared" si="5"/>
        <v>56784</v>
      </c>
      <c r="D11" s="20">
        <f t="shared" si="6"/>
        <v>39748.799999999996</v>
      </c>
      <c r="F11" s="23">
        <v>0.09</v>
      </c>
      <c r="G11" s="22">
        <f>IF(A11=0,0,(H10) )</f>
        <v>98810.712700000018</v>
      </c>
      <c r="H11" s="22">
        <f>IF(A11=0,0,(G11)*(1+F11))</f>
        <v>107703.67684300002</v>
      </c>
      <c r="I11" s="34">
        <f>D11+H11</f>
        <v>147452.47684300001</v>
      </c>
      <c r="J11" s="21">
        <f>IF(A11=0,0,D11/(D11+H11))</f>
        <v>0.26957024290831355</v>
      </c>
      <c r="K11" s="24">
        <f>IF(A11=0,0,H11/(D11+H11))</f>
        <v>0.73042975709168645</v>
      </c>
      <c r="L11" s="21">
        <f t="shared" si="1"/>
        <v>0.36494813361354012</v>
      </c>
      <c r="M11" s="21">
        <f t="shared" si="2"/>
        <v>0.63505186638645983</v>
      </c>
      <c r="N11" s="21">
        <f t="shared" si="3"/>
        <v>0.26957024290831355</v>
      </c>
      <c r="O11" s="21">
        <f t="shared" si="4"/>
        <v>0.73042975709168645</v>
      </c>
    </row>
    <row r="12" spans="1:15">
      <c r="L12" s="198" t="s">
        <v>101</v>
      </c>
      <c r="M12" s="198"/>
      <c r="N12" s="198"/>
      <c r="O12" s="198"/>
    </row>
    <row r="13" spans="1:15">
      <c r="A13" s="2" t="s">
        <v>39</v>
      </c>
      <c r="L13" s="198" t="s">
        <v>109</v>
      </c>
      <c r="M13" s="198"/>
      <c r="N13" s="198" t="s">
        <v>108</v>
      </c>
      <c r="O13" s="198"/>
    </row>
    <row r="14" spans="1:15">
      <c r="A14" s="2" t="s">
        <v>92</v>
      </c>
      <c r="L14" s="114" t="s">
        <v>23</v>
      </c>
      <c r="M14" s="114" t="s">
        <v>24</v>
      </c>
      <c r="N14" s="114" t="s">
        <v>23</v>
      </c>
      <c r="O14" s="114" t="s">
        <v>24</v>
      </c>
    </row>
    <row r="15" spans="1:15">
      <c r="A15" s="14" t="s">
        <v>0</v>
      </c>
      <c r="B15" s="14" t="s">
        <v>8</v>
      </c>
      <c r="C15" s="14" t="s">
        <v>36</v>
      </c>
      <c r="D15" s="14" t="s">
        <v>37</v>
      </c>
      <c r="F15" s="14" t="s">
        <v>21</v>
      </c>
      <c r="G15" s="14" t="s">
        <v>36</v>
      </c>
      <c r="H15" s="14" t="s">
        <v>1</v>
      </c>
      <c r="I15" s="14" t="s">
        <v>34</v>
      </c>
      <c r="J15" s="14" t="s">
        <v>23</v>
      </c>
      <c r="K15" s="112" t="s">
        <v>24</v>
      </c>
      <c r="L15" s="115"/>
      <c r="M15" s="115"/>
      <c r="N15" s="115"/>
      <c r="O15" s="115"/>
    </row>
    <row r="16" spans="1:15">
      <c r="A16" s="15"/>
      <c r="B16" s="14" t="s">
        <v>9</v>
      </c>
      <c r="C16" s="14"/>
      <c r="D16" s="15"/>
      <c r="F16" s="14" t="s">
        <v>13</v>
      </c>
      <c r="G16" s="14"/>
      <c r="H16" s="14"/>
      <c r="I16" s="14"/>
      <c r="J16" s="14"/>
      <c r="K16" s="112"/>
      <c r="L16" s="115"/>
      <c r="M16" s="115"/>
      <c r="N16" s="115"/>
      <c r="O16" s="115"/>
    </row>
    <row r="17" spans="1:15">
      <c r="A17" s="15">
        <v>1</v>
      </c>
      <c r="B17" s="16">
        <v>0.3</v>
      </c>
      <c r="C17" s="17">
        <v>30000</v>
      </c>
      <c r="D17" s="15">
        <f>IF(A17=0,0,(C17)*(1+B17))</f>
        <v>39000</v>
      </c>
      <c r="F17" s="18">
        <v>0.09</v>
      </c>
      <c r="G17" s="17">
        <v>70000</v>
      </c>
      <c r="H17" s="17">
        <f>IF(A17=0,0,(G17)*(1+F17))</f>
        <v>76300</v>
      </c>
      <c r="I17" s="17">
        <f>D17+H17</f>
        <v>115300</v>
      </c>
      <c r="J17" s="16">
        <f>IF(A17=0,0,D17/(D17+H17))</f>
        <v>0.33824804856895058</v>
      </c>
      <c r="K17" s="113">
        <f>IF(A17=0,0,H17/(D17+H17))</f>
        <v>0.66175195143104948</v>
      </c>
      <c r="L17" s="116">
        <f>C17/(C17+G17)</f>
        <v>0.3</v>
      </c>
      <c r="M17" s="116">
        <f>G17/(C17+G17)</f>
        <v>0.7</v>
      </c>
      <c r="N17" s="116">
        <f>D17/I17</f>
        <v>0.33824804856895058</v>
      </c>
      <c r="O17" s="116">
        <f>H17/I17</f>
        <v>0.66175195143104948</v>
      </c>
    </row>
    <row r="18" spans="1:15">
      <c r="A18" s="15">
        <v>2</v>
      </c>
      <c r="B18" s="16">
        <v>-0.35</v>
      </c>
      <c r="C18" s="17">
        <f>IF(A18=0,0,(30%*(D17+H17)))</f>
        <v>34590</v>
      </c>
      <c r="D18" s="15">
        <f>IF(A18=0,0,(C18)*(1+B18))</f>
        <v>22483.5</v>
      </c>
      <c r="F18" s="18">
        <v>0.09</v>
      </c>
      <c r="G18" s="17">
        <f>IF(A18=0,0,(70%*(H17+D17)))</f>
        <v>80710</v>
      </c>
      <c r="H18" s="17">
        <f>IF(A18=0,0,(G18)*(1+F18))</f>
        <v>87973.900000000009</v>
      </c>
      <c r="I18" s="17">
        <f>D18+H18</f>
        <v>110457.40000000001</v>
      </c>
      <c r="J18" s="16">
        <f>IF(A18=0,0,D18/(D18+H18))</f>
        <v>0.20354906054279748</v>
      </c>
      <c r="K18" s="113">
        <f>IF(A18=0,0,H18/(D18+H18))</f>
        <v>0.79645093945720247</v>
      </c>
      <c r="L18" s="116">
        <f>C18/(C18+G18)</f>
        <v>0.3</v>
      </c>
      <c r="M18" s="116">
        <f>G18/(C18+G18)</f>
        <v>0.7</v>
      </c>
      <c r="N18" s="116">
        <f t="shared" ref="N18:N21" si="7">D18/I18</f>
        <v>0.20354906054279748</v>
      </c>
      <c r="O18" s="116">
        <f>H18/I18</f>
        <v>0.79645093945720247</v>
      </c>
    </row>
    <row r="19" spans="1:15">
      <c r="A19" s="15">
        <v>3</v>
      </c>
      <c r="B19" s="16">
        <v>0.4</v>
      </c>
      <c r="C19" s="17">
        <f>IF(A19=0,0,(30%*(D18+H18)))</f>
        <v>33137.22</v>
      </c>
      <c r="D19" s="15">
        <f>IF(A19=0,0,(C19)*(1+B19))</f>
        <v>46392.108</v>
      </c>
      <c r="F19" s="18">
        <v>0.09</v>
      </c>
      <c r="G19" s="17">
        <f>IF(A19=0,0,(70%*(H18+D18)))</f>
        <v>77320.180000000008</v>
      </c>
      <c r="H19" s="17">
        <f>IF(A19=0,0,(G19)*(1+F19))</f>
        <v>84278.996200000009</v>
      </c>
      <c r="I19" s="17">
        <f>D19+H19</f>
        <v>130671.1042</v>
      </c>
      <c r="J19" s="16">
        <f>IF(A19=0,0,D19/(D19+H19))</f>
        <v>0.35502958579881655</v>
      </c>
      <c r="K19" s="113">
        <f>IF(A19=0,0,H19/(D19+H19))</f>
        <v>0.64497041420118351</v>
      </c>
      <c r="L19" s="116">
        <f>C19/(C19+G19)</f>
        <v>0.3</v>
      </c>
      <c r="M19" s="116">
        <f>G19/(C19+G19)</f>
        <v>0.70000000000000007</v>
      </c>
      <c r="N19" s="116">
        <f t="shared" si="7"/>
        <v>0.35502958579881655</v>
      </c>
      <c r="O19" s="116">
        <f>H19/I19</f>
        <v>0.64497041420118351</v>
      </c>
    </row>
    <row r="20" spans="1:15">
      <c r="A20" s="15">
        <v>4</v>
      </c>
      <c r="B20" s="16">
        <v>0.6</v>
      </c>
      <c r="C20" s="17">
        <f>IF(A20=0,0,(30%*(D19+H19)))</f>
        <v>39201.331259999999</v>
      </c>
      <c r="D20" s="15">
        <f>IF(A20=0,0,(C20)*(1+B20))</f>
        <v>62722.130016000003</v>
      </c>
      <c r="F20" s="18">
        <v>0.09</v>
      </c>
      <c r="G20" s="17">
        <f>IF(A20=0,0,(70%*(H19+D19)))</f>
        <v>91469.772939999995</v>
      </c>
      <c r="H20" s="17">
        <f>IF(A20=0,0,(G20)*(1+F20))</f>
        <v>99702.052504599997</v>
      </c>
      <c r="I20" s="17">
        <f>D20+H20</f>
        <v>162424.18252060001</v>
      </c>
      <c r="J20" s="16">
        <f>IF(A20=0,0,D20/(D20+H20))</f>
        <v>0.38616251005631536</v>
      </c>
      <c r="K20" s="113">
        <f>IF(A20=0,0,H20/(D20+H20))</f>
        <v>0.61383748994368459</v>
      </c>
      <c r="L20" s="116">
        <f>C20/(C20+G20)</f>
        <v>0.3</v>
      </c>
      <c r="M20" s="116">
        <f>G20/(C20+G20)</f>
        <v>0.7</v>
      </c>
      <c r="N20" s="116">
        <f t="shared" si="7"/>
        <v>0.38616251005631536</v>
      </c>
      <c r="O20" s="116">
        <f>H20/I20</f>
        <v>0.61383748994368459</v>
      </c>
    </row>
    <row r="21" spans="1:15">
      <c r="A21" s="15">
        <v>5</v>
      </c>
      <c r="B21" s="16">
        <v>-0.3</v>
      </c>
      <c r="C21" s="17">
        <f>IF(A21=0,0,(30%*(D20+H20)))</f>
        <v>48727.254756180002</v>
      </c>
      <c r="D21" s="15">
        <f>IF(A21=0,0,(C21)*(1+B21))</f>
        <v>34109.078329326003</v>
      </c>
      <c r="F21" s="18">
        <v>0.09</v>
      </c>
      <c r="G21" s="17">
        <f>IF(A21=0,0,(70%*(H20+D20)))</f>
        <v>113696.92776442</v>
      </c>
      <c r="H21" s="17">
        <f>IF(A21=0,0,(G21)*(1+F21))</f>
        <v>123929.65126321782</v>
      </c>
      <c r="I21" s="34">
        <f>D21+H21</f>
        <v>158038.72959254382</v>
      </c>
      <c r="J21" s="16">
        <f>IF(A21=0,0,D21/(D21+H21))</f>
        <v>0.21582733812949639</v>
      </c>
      <c r="K21" s="113">
        <f>IF(A21=0,0,H21/(D21+H21))</f>
        <v>0.78417266187050361</v>
      </c>
      <c r="L21" s="116">
        <f>C21/(C21+G21)</f>
        <v>0.3</v>
      </c>
      <c r="M21" s="116">
        <f>G21/(C21+G21)</f>
        <v>0.7</v>
      </c>
      <c r="N21" s="116">
        <f t="shared" si="7"/>
        <v>0.21582733812949639</v>
      </c>
      <c r="O21" s="116">
        <f>H21/I21</f>
        <v>0.78417266187050361</v>
      </c>
    </row>
    <row r="23" spans="1:15">
      <c r="A23" s="2" t="s">
        <v>43</v>
      </c>
    </row>
    <row r="24" spans="1:15">
      <c r="A24" t="s">
        <v>84</v>
      </c>
    </row>
    <row r="25" spans="1:15">
      <c r="A25" t="s">
        <v>85</v>
      </c>
    </row>
    <row r="26" spans="1:15">
      <c r="A26" t="s">
        <v>90</v>
      </c>
    </row>
    <row r="27" spans="1:15">
      <c r="A27" t="s">
        <v>89</v>
      </c>
    </row>
  </sheetData>
  <mergeCells count="6">
    <mergeCell ref="L4:M4"/>
    <mergeCell ref="N4:O4"/>
    <mergeCell ref="L3:O3"/>
    <mergeCell ref="L12:O12"/>
    <mergeCell ref="L13:M13"/>
    <mergeCell ref="N13:O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58"/>
  <sheetViews>
    <sheetView workbookViewId="0">
      <selection activeCell="D2" sqref="D2"/>
    </sheetView>
  </sheetViews>
  <sheetFormatPr defaultRowHeight="14.4"/>
  <cols>
    <col min="1" max="1" width="16" customWidth="1"/>
    <col min="2" max="2" width="16.88671875" bestFit="1" customWidth="1"/>
    <col min="3" max="3" width="11" bestFit="1" customWidth="1"/>
    <col min="4" max="4" width="12.109375" bestFit="1" customWidth="1"/>
    <col min="5" max="5" width="7.88671875" bestFit="1" customWidth="1"/>
    <col min="6" max="6" width="6.33203125" bestFit="1" customWidth="1"/>
    <col min="7" max="7" width="7" bestFit="1" customWidth="1"/>
    <col min="8" max="8" width="8.21875" bestFit="1" customWidth="1"/>
    <col min="9" max="9" width="6.33203125" customWidth="1"/>
    <col min="10" max="11" width="10.77734375" bestFit="1" customWidth="1"/>
    <col min="12" max="12" width="6.5546875" customWidth="1"/>
    <col min="13" max="13" width="7.33203125" customWidth="1"/>
    <col min="14" max="14" width="7.88671875" customWidth="1"/>
    <col min="15" max="15" width="4.6640625" bestFit="1" customWidth="1"/>
    <col min="16" max="16" width="6.77734375" bestFit="1" customWidth="1"/>
    <col min="17" max="17" width="10" customWidth="1"/>
    <col min="18" max="18" width="12" bestFit="1" customWidth="1"/>
    <col min="19" max="19" width="8.88671875" hidden="1" customWidth="1"/>
    <col min="23" max="23" width="0" hidden="1" customWidth="1"/>
    <col min="30" max="30" width="10.5546875" bestFit="1" customWidth="1"/>
    <col min="31" max="31" width="9" bestFit="1" customWidth="1"/>
    <col min="32" max="32" width="0" hidden="1" customWidth="1"/>
    <col min="35" max="35" width="9" bestFit="1" customWidth="1"/>
    <col min="36" max="36" width="0" hidden="1" customWidth="1"/>
  </cols>
  <sheetData>
    <row r="1" spans="1:40" ht="15" thickBot="1">
      <c r="A1" s="2" t="s">
        <v>15</v>
      </c>
      <c r="I1" s="220"/>
      <c r="J1" s="220"/>
      <c r="K1" s="220"/>
      <c r="L1" s="220"/>
      <c r="N1" s="199" t="s">
        <v>32</v>
      </c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AA1" s="199" t="s">
        <v>33</v>
      </c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</row>
    <row r="2" spans="1:40">
      <c r="A2" s="4" t="s">
        <v>18</v>
      </c>
      <c r="B2" s="5"/>
      <c r="C2" s="5"/>
      <c r="D2" s="98">
        <v>25</v>
      </c>
      <c r="E2" s="5"/>
      <c r="F2" s="6"/>
      <c r="G2" s="8"/>
      <c r="H2" s="8"/>
      <c r="I2" s="27"/>
      <c r="J2" s="223" t="s">
        <v>139</v>
      </c>
      <c r="K2" s="223"/>
      <c r="L2" s="27"/>
      <c r="N2" s="73" t="s">
        <v>14</v>
      </c>
      <c r="O2" s="73" t="s">
        <v>0</v>
      </c>
      <c r="P2" s="73" t="s">
        <v>8</v>
      </c>
      <c r="Q2" s="73" t="s">
        <v>3</v>
      </c>
      <c r="R2" s="73" t="s">
        <v>34</v>
      </c>
      <c r="S2" s="63"/>
      <c r="T2" s="73" t="s">
        <v>21</v>
      </c>
      <c r="U2" s="73" t="s">
        <v>4</v>
      </c>
      <c r="V2" s="73" t="s">
        <v>1</v>
      </c>
      <c r="W2" s="73"/>
      <c r="X2" s="206" t="s">
        <v>101</v>
      </c>
      <c r="Y2" s="206"/>
      <c r="AA2" s="76" t="s">
        <v>14</v>
      </c>
      <c r="AB2" s="76" t="s">
        <v>0</v>
      </c>
      <c r="AC2" s="76" t="s">
        <v>8</v>
      </c>
      <c r="AD2" s="76" t="s">
        <v>36</v>
      </c>
      <c r="AE2" s="76" t="s">
        <v>1</v>
      </c>
      <c r="AF2" s="78"/>
      <c r="AG2" s="76" t="s">
        <v>21</v>
      </c>
      <c r="AH2" s="76" t="s">
        <v>4</v>
      </c>
      <c r="AI2" s="76" t="s">
        <v>1</v>
      </c>
      <c r="AJ2" s="76"/>
      <c r="AK2" s="200" t="s">
        <v>101</v>
      </c>
      <c r="AL2" s="200"/>
    </row>
    <row r="3" spans="1:40">
      <c r="A3" s="7" t="s">
        <v>10</v>
      </c>
      <c r="B3" s="8"/>
      <c r="C3" s="8"/>
      <c r="D3" s="102">
        <v>1980</v>
      </c>
      <c r="E3" s="8" t="s">
        <v>11</v>
      </c>
      <c r="F3" s="102">
        <f>2011-time1+1</f>
        <v>1987</v>
      </c>
      <c r="G3" s="40"/>
      <c r="H3" s="40"/>
      <c r="I3" s="40"/>
      <c r="J3" s="222" t="s">
        <v>140</v>
      </c>
      <c r="K3" s="222" t="s">
        <v>142</v>
      </c>
      <c r="L3" s="40"/>
      <c r="N3" s="64" t="s">
        <v>13</v>
      </c>
      <c r="O3" s="63"/>
      <c r="P3" s="73" t="s">
        <v>9</v>
      </c>
      <c r="Q3" s="73"/>
      <c r="R3" s="63"/>
      <c r="S3" s="63"/>
      <c r="T3" s="73" t="s">
        <v>13</v>
      </c>
      <c r="U3" s="73"/>
      <c r="V3" s="73"/>
      <c r="W3" s="73"/>
      <c r="X3" s="206" t="s">
        <v>104</v>
      </c>
      <c r="Y3" s="206"/>
      <c r="Z3" s="2"/>
      <c r="AA3" s="79" t="s">
        <v>13</v>
      </c>
      <c r="AB3" s="78"/>
      <c r="AC3" s="76" t="s">
        <v>9</v>
      </c>
      <c r="AD3" s="76"/>
      <c r="AE3" s="78"/>
      <c r="AF3" s="78"/>
      <c r="AG3" s="76" t="s">
        <v>13</v>
      </c>
      <c r="AH3" s="76"/>
      <c r="AI3" s="76"/>
      <c r="AJ3" s="76"/>
      <c r="AK3" s="200" t="s">
        <v>103</v>
      </c>
      <c r="AL3" s="200"/>
      <c r="AM3" s="2"/>
      <c r="AN3" s="2"/>
    </row>
    <row r="4" spans="1:40">
      <c r="A4" s="7" t="s">
        <v>12</v>
      </c>
      <c r="B4" s="8"/>
      <c r="C4" s="98">
        <v>1987</v>
      </c>
      <c r="D4" s="8"/>
      <c r="E4" s="8"/>
      <c r="F4" s="9"/>
      <c r="G4" s="8"/>
      <c r="H4" s="8"/>
      <c r="I4" s="27"/>
      <c r="J4" s="222" t="s">
        <v>141</v>
      </c>
      <c r="K4" s="222" t="s">
        <v>141</v>
      </c>
      <c r="L4" s="27"/>
      <c r="N4" s="63"/>
      <c r="O4" s="63"/>
      <c r="P4" s="63"/>
      <c r="Q4" s="63"/>
      <c r="R4" s="63"/>
      <c r="S4" s="63"/>
      <c r="T4" s="63"/>
      <c r="U4" s="63"/>
      <c r="V4" s="63"/>
      <c r="W4" s="63"/>
      <c r="X4" s="73" t="s">
        <v>23</v>
      </c>
      <c r="Y4" s="73" t="s">
        <v>24</v>
      </c>
      <c r="Z4" s="2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6" t="s">
        <v>23</v>
      </c>
      <c r="AL4" s="76" t="s">
        <v>24</v>
      </c>
      <c r="AM4" s="2"/>
      <c r="AN4" s="2"/>
    </row>
    <row r="5" spans="1:40">
      <c r="A5" s="7"/>
      <c r="B5" s="8"/>
      <c r="C5" s="8"/>
      <c r="D5" s="8"/>
      <c r="E5" s="8"/>
      <c r="F5" s="9"/>
      <c r="G5" s="8"/>
      <c r="H5" s="8"/>
      <c r="I5" s="27"/>
      <c r="J5" s="130" t="str">
        <f>IF(O5=0,"",((R5+V5)/cont1)^(1/O5)-1)</f>
        <v/>
      </c>
      <c r="K5" s="130" t="str">
        <f>IF(O5=0,"",((AE5+AI5)/cont1)^(1/O5)-1)</f>
        <v/>
      </c>
      <c r="L5" s="27"/>
      <c r="N5" s="63">
        <v>1980</v>
      </c>
      <c r="O5" s="63">
        <f>IF(T3=start-1+time1,0,IF(O3&lt;&gt;0,O3+1,IF(N5=start,1,0)))</f>
        <v>0</v>
      </c>
      <c r="P5" s="65">
        <v>0.34899276658629547</v>
      </c>
      <c r="Q5" s="66">
        <f>IF(T3=start-1+time1,0,IF(N5=start,cont1*eqper,0))</f>
        <v>0</v>
      </c>
      <c r="R5" s="63">
        <f>IF(O5=0,0,(Q5+R3)*(1+P5))</f>
        <v>0</v>
      </c>
      <c r="S5" s="63">
        <f t="shared" ref="S5:S36" si="0">IF(O5=time1,R5,0)</f>
        <v>0</v>
      </c>
      <c r="T5" s="67">
        <v>7.4999999999999997E-2</v>
      </c>
      <c r="U5" s="66">
        <f>IF(T3=start-1+time1,0,IF(N5=start,cont1*bondper,0))</f>
        <v>0</v>
      </c>
      <c r="V5" s="66">
        <f>IF(O5=0,0,(U5+V3)*(1+T5))</f>
        <v>0</v>
      </c>
      <c r="W5" s="66">
        <f t="shared" ref="W5:W36" si="1">IF(O5=time1,V5,0)</f>
        <v>0</v>
      </c>
      <c r="X5" s="65">
        <f t="shared" ref="X5:X36" si="2">IF(O5=0,0,R5/(R5+V5))</f>
        <v>0</v>
      </c>
      <c r="Y5" s="68">
        <f t="shared" ref="Y5:Y36" si="3">IF(O5=0,0,V5/(R5+V5))</f>
        <v>0</v>
      </c>
      <c r="Z5" s="3"/>
      <c r="AA5" s="78">
        <v>1980</v>
      </c>
      <c r="AB5" s="78">
        <f>IF(AG3=start-1+time1,0,IF(AB3&lt;&gt;0,AB3+1,IF(AA5=start,1,0)))</f>
        <v>0</v>
      </c>
      <c r="AC5" s="80">
        <v>0.34899276658629547</v>
      </c>
      <c r="AD5" s="81">
        <f>IF(AG3=start-1+time1,0,IF(AA5=start,cont1*eqper,0))</f>
        <v>0</v>
      </c>
      <c r="AE5" s="78">
        <f>IF(AB5=0,0,(AD5+eqper*(AE3+AI3))*(1+AC5))</f>
        <v>0</v>
      </c>
      <c r="AF5" s="78">
        <f t="shared" ref="AF5:AF36" si="4">IF(AB5=time1,AE5,0)</f>
        <v>0</v>
      </c>
      <c r="AG5" s="82">
        <v>7.4999999999999997E-2</v>
      </c>
      <c r="AH5" s="81">
        <f>IF(AG3=start-1+time1,0,IF(AA5=start,cont1*bondper,0))</f>
        <v>0</v>
      </c>
      <c r="AI5" s="81">
        <f>IF(AB5=0,0,(AH5+bondper*(AE3+AI3))*(1+AG5))</f>
        <v>0</v>
      </c>
      <c r="AJ5" s="81">
        <f t="shared" ref="AJ5:AJ36" si="5">IF(AB5=time1,AI5,0)</f>
        <v>0</v>
      </c>
      <c r="AK5" s="80">
        <f t="shared" ref="AK5:AK36" si="6">IF(AB5=0,0,AE5/(AE5+AI5))</f>
        <v>0</v>
      </c>
      <c r="AL5" s="83">
        <f t="shared" ref="AL5:AL36" si="7">IF(AB5=0,0,AI5/(AE5+AI5))</f>
        <v>0</v>
      </c>
      <c r="AM5" s="3"/>
      <c r="AN5" s="3"/>
    </row>
    <row r="6" spans="1:40">
      <c r="A6" s="7" t="s">
        <v>35</v>
      </c>
      <c r="B6" s="8"/>
      <c r="C6" s="8"/>
      <c r="D6" s="98">
        <v>100</v>
      </c>
      <c r="E6" s="8"/>
      <c r="F6" s="9"/>
      <c r="G6" s="8"/>
      <c r="H6" s="8"/>
      <c r="I6" s="27"/>
      <c r="J6" s="130" t="str">
        <f>IF(O6=0,"",((R6+V6)/cont1)^(1/O6)-1)</f>
        <v/>
      </c>
      <c r="K6" s="130" t="str">
        <f>IF(O6=0,"",((AE6+AI6)/cont1)^(1/O6)-1)</f>
        <v/>
      </c>
      <c r="L6" s="27"/>
      <c r="N6" s="63">
        <f>N5+1</f>
        <v>1981</v>
      </c>
      <c r="O6" s="63">
        <f t="shared" ref="O6:O36" si="8">IF(N5=start-1+time1,0,IF(O5&lt;&gt;0,O5+1,IF(N6=start,1,0)))</f>
        <v>0</v>
      </c>
      <c r="P6" s="65">
        <v>0.25524677121771222</v>
      </c>
      <c r="Q6" s="66">
        <f t="shared" ref="Q6:Q36" si="9">IF(T5=start-1+time1,0,IF(N6=start,cont1*eqper,0))</f>
        <v>0</v>
      </c>
      <c r="R6" s="63">
        <f t="shared" ref="R6:R36" si="10">IF(O6=0,0,(Q6+R5)*(1+P6))</f>
        <v>0</v>
      </c>
      <c r="S6" s="63">
        <f t="shared" si="0"/>
        <v>0</v>
      </c>
      <c r="T6" s="67">
        <v>0.08</v>
      </c>
      <c r="U6" s="66">
        <f t="shared" ref="U6:U36" si="11">IF(T5=start-1+time1,0,IF(N6=start,cont1*bondper,0))</f>
        <v>0</v>
      </c>
      <c r="V6" s="66">
        <f t="shared" ref="V6:V36" si="12">IF(O6=0,0,(U6+V5)*(1+T6))</f>
        <v>0</v>
      </c>
      <c r="W6" s="66">
        <f t="shared" si="1"/>
        <v>0</v>
      </c>
      <c r="X6" s="65">
        <f t="shared" si="2"/>
        <v>0</v>
      </c>
      <c r="Y6" s="68">
        <f t="shared" si="3"/>
        <v>0</v>
      </c>
      <c r="Z6" s="3"/>
      <c r="AA6" s="78">
        <f>AA5+1</f>
        <v>1981</v>
      </c>
      <c r="AB6" s="78">
        <f t="shared" ref="AB6:AB36" si="13">IF(AA5=start-1+time1,0,IF(AB5&lt;&gt;0,AB5+1,IF(AA6=start,1,0)))</f>
        <v>0</v>
      </c>
      <c r="AC6" s="80">
        <v>0.25524677121771222</v>
      </c>
      <c r="AD6" s="81">
        <f t="shared" ref="AD6:AD36" si="14">IF(AG5=start-1+time1,0,IF(AA6=start,cont1*eqper,0))</f>
        <v>0</v>
      </c>
      <c r="AE6" s="78">
        <f t="shared" ref="AE6:AE36" si="15">IF(AB6=0,0,(AD6+eqper*(AE5+AI5))*(1+AC6))</f>
        <v>0</v>
      </c>
      <c r="AF6" s="78">
        <f t="shared" si="4"/>
        <v>0</v>
      </c>
      <c r="AG6" s="82">
        <v>0.08</v>
      </c>
      <c r="AH6" s="81">
        <f t="shared" ref="AH6:AH36" si="16">IF(AG5=start-1+time1,0,IF(AA6=start,cont1*bondper,0))</f>
        <v>0</v>
      </c>
      <c r="AI6" s="81">
        <f t="shared" ref="AI6:AI36" si="17">IF(AB6=0,0,(AH6+bondper*(AE5+AI5))*(1+AG6))</f>
        <v>0</v>
      </c>
      <c r="AJ6" s="81">
        <f t="shared" si="5"/>
        <v>0</v>
      </c>
      <c r="AK6" s="80">
        <f t="shared" si="6"/>
        <v>0</v>
      </c>
      <c r="AL6" s="83">
        <f t="shared" si="7"/>
        <v>0</v>
      </c>
      <c r="AM6" s="3"/>
      <c r="AN6" s="3"/>
    </row>
    <row r="7" spans="1:40">
      <c r="A7" s="7"/>
      <c r="B7" s="8"/>
      <c r="C7" s="8"/>
      <c r="D7" s="36"/>
      <c r="E7" s="8"/>
      <c r="F7" s="9"/>
      <c r="G7" s="8"/>
      <c r="H7" s="8"/>
      <c r="I7" s="27"/>
      <c r="J7" s="130" t="str">
        <f>IF(O7=0,"",((R7+V7)/cont1)^(1/O7)-1)</f>
        <v/>
      </c>
      <c r="K7" s="130" t="str">
        <f>IF(O7=0,"",((AE7+AI7)/cont1)^(1/O7)-1)</f>
        <v/>
      </c>
      <c r="L7" s="27"/>
      <c r="N7" s="63">
        <f t="shared" ref="N7:N36" si="18">N6+1</f>
        <v>1982</v>
      </c>
      <c r="O7" s="63">
        <f t="shared" si="8"/>
        <v>0</v>
      </c>
      <c r="P7" s="65">
        <v>-2.8478250884203839E-2</v>
      </c>
      <c r="Q7" s="66">
        <f t="shared" si="9"/>
        <v>0</v>
      </c>
      <c r="R7" s="63">
        <f t="shared" si="10"/>
        <v>0</v>
      </c>
      <c r="S7" s="63">
        <f t="shared" si="0"/>
        <v>0</v>
      </c>
      <c r="T7" s="67">
        <v>0.08</v>
      </c>
      <c r="U7" s="66">
        <f t="shared" si="11"/>
        <v>0</v>
      </c>
      <c r="V7" s="66">
        <f t="shared" si="12"/>
        <v>0</v>
      </c>
      <c r="W7" s="66">
        <f t="shared" si="1"/>
        <v>0</v>
      </c>
      <c r="X7" s="65">
        <f t="shared" si="2"/>
        <v>0</v>
      </c>
      <c r="Y7" s="68">
        <f t="shared" si="3"/>
        <v>0</v>
      </c>
      <c r="Z7" s="3"/>
      <c r="AA7" s="78">
        <f t="shared" ref="AA7:AA36" si="19">AA6+1</f>
        <v>1982</v>
      </c>
      <c r="AB7" s="78">
        <f t="shared" si="13"/>
        <v>0</v>
      </c>
      <c r="AC7" s="80">
        <v>-2.8478250884203839E-2</v>
      </c>
      <c r="AD7" s="81">
        <f t="shared" si="14"/>
        <v>0</v>
      </c>
      <c r="AE7" s="78">
        <f t="shared" si="15"/>
        <v>0</v>
      </c>
      <c r="AF7" s="78">
        <f t="shared" si="4"/>
        <v>0</v>
      </c>
      <c r="AG7" s="82">
        <v>0.08</v>
      </c>
      <c r="AH7" s="81">
        <f t="shared" si="16"/>
        <v>0</v>
      </c>
      <c r="AI7" s="81">
        <f t="shared" si="17"/>
        <v>0</v>
      </c>
      <c r="AJ7" s="81">
        <f t="shared" si="5"/>
        <v>0</v>
      </c>
      <c r="AK7" s="80">
        <f t="shared" si="6"/>
        <v>0</v>
      </c>
      <c r="AL7" s="83">
        <f t="shared" si="7"/>
        <v>0</v>
      </c>
      <c r="AM7" s="3"/>
      <c r="AN7" s="3"/>
    </row>
    <row r="8" spans="1:40">
      <c r="E8" s="8"/>
      <c r="F8" s="9"/>
      <c r="G8" s="8"/>
      <c r="H8" s="8"/>
      <c r="I8" s="27"/>
      <c r="J8" s="130" t="str">
        <f>IF(O8=0,"",((R8+V8)/cont1)^(1/O8)-1)</f>
        <v/>
      </c>
      <c r="K8" s="130" t="str">
        <f>IF(O8=0,"",((AE8+AI8)/cont1)^(1/O8)-1)</f>
        <v/>
      </c>
      <c r="L8" s="27"/>
      <c r="N8" s="63">
        <f t="shared" si="18"/>
        <v>1983</v>
      </c>
      <c r="O8" s="63">
        <f t="shared" si="8"/>
        <v>0</v>
      </c>
      <c r="P8" s="65">
        <v>0.15989787716892828</v>
      </c>
      <c r="Q8" s="66">
        <f t="shared" si="9"/>
        <v>0</v>
      </c>
      <c r="R8" s="63">
        <f t="shared" si="10"/>
        <v>0</v>
      </c>
      <c r="S8" s="63">
        <f t="shared" si="0"/>
        <v>0</v>
      </c>
      <c r="T8" s="67">
        <v>0.08</v>
      </c>
      <c r="U8" s="66">
        <f t="shared" si="11"/>
        <v>0</v>
      </c>
      <c r="V8" s="66">
        <f t="shared" si="12"/>
        <v>0</v>
      </c>
      <c r="W8" s="66">
        <f t="shared" si="1"/>
        <v>0</v>
      </c>
      <c r="X8" s="65">
        <f t="shared" si="2"/>
        <v>0</v>
      </c>
      <c r="Y8" s="68">
        <f t="shared" si="3"/>
        <v>0</v>
      </c>
      <c r="Z8" s="3"/>
      <c r="AA8" s="78">
        <f t="shared" si="19"/>
        <v>1983</v>
      </c>
      <c r="AB8" s="78">
        <f t="shared" si="13"/>
        <v>0</v>
      </c>
      <c r="AC8" s="80">
        <v>0.15989787716892828</v>
      </c>
      <c r="AD8" s="81">
        <f t="shared" si="14"/>
        <v>0</v>
      </c>
      <c r="AE8" s="78">
        <f t="shared" si="15"/>
        <v>0</v>
      </c>
      <c r="AF8" s="78">
        <f t="shared" si="4"/>
        <v>0</v>
      </c>
      <c r="AG8" s="82">
        <v>0.08</v>
      </c>
      <c r="AH8" s="81">
        <f t="shared" si="16"/>
        <v>0</v>
      </c>
      <c r="AI8" s="81">
        <f t="shared" si="17"/>
        <v>0</v>
      </c>
      <c r="AJ8" s="81">
        <f t="shared" si="5"/>
        <v>0</v>
      </c>
      <c r="AK8" s="80">
        <f t="shared" si="6"/>
        <v>0</v>
      </c>
      <c r="AL8" s="83">
        <f t="shared" si="7"/>
        <v>0</v>
      </c>
      <c r="AM8" s="3"/>
      <c r="AN8" s="3"/>
    </row>
    <row r="9" spans="1:40">
      <c r="A9" s="7" t="s">
        <v>19</v>
      </c>
      <c r="B9" s="97">
        <v>0.7</v>
      </c>
      <c r="C9" s="27" t="s">
        <v>20</v>
      </c>
      <c r="D9" s="35">
        <f>100%-eqper</f>
        <v>0.30000000000000004</v>
      </c>
      <c r="E9" s="8"/>
      <c r="F9" s="9"/>
      <c r="G9" s="8"/>
      <c r="H9" s="8"/>
      <c r="I9" s="27"/>
      <c r="J9" s="130" t="str">
        <f>IF(O9=0,"",((R9+V9)/cont1)^(1/O9)-1)</f>
        <v/>
      </c>
      <c r="K9" s="130" t="str">
        <f>IF(O9=0,"",((AE9+AI9)/cont1)^(1/O9)-1)</f>
        <v/>
      </c>
      <c r="L9" s="27"/>
      <c r="N9" s="63">
        <f t="shared" si="18"/>
        <v>1984</v>
      </c>
      <c r="O9" s="63">
        <f t="shared" si="8"/>
        <v>0</v>
      </c>
      <c r="P9" s="65">
        <v>0.44238372803978315</v>
      </c>
      <c r="Q9" s="66">
        <f t="shared" si="9"/>
        <v>0</v>
      </c>
      <c r="R9" s="63">
        <f t="shared" si="10"/>
        <v>0</v>
      </c>
      <c r="S9" s="63">
        <f t="shared" si="0"/>
        <v>0</v>
      </c>
      <c r="T9" s="67">
        <v>0.08</v>
      </c>
      <c r="U9" s="66">
        <f t="shared" si="11"/>
        <v>0</v>
      </c>
      <c r="V9" s="66">
        <f t="shared" si="12"/>
        <v>0</v>
      </c>
      <c r="W9" s="66">
        <f t="shared" si="1"/>
        <v>0</v>
      </c>
      <c r="X9" s="65">
        <f t="shared" si="2"/>
        <v>0</v>
      </c>
      <c r="Y9" s="68">
        <f t="shared" si="3"/>
        <v>0</v>
      </c>
      <c r="Z9" s="3"/>
      <c r="AA9" s="78">
        <f t="shared" si="19"/>
        <v>1984</v>
      </c>
      <c r="AB9" s="78">
        <f t="shared" si="13"/>
        <v>0</v>
      </c>
      <c r="AC9" s="80">
        <v>0.44238372803978315</v>
      </c>
      <c r="AD9" s="81">
        <f t="shared" si="14"/>
        <v>0</v>
      </c>
      <c r="AE9" s="78">
        <f t="shared" si="15"/>
        <v>0</v>
      </c>
      <c r="AF9" s="78">
        <f t="shared" si="4"/>
        <v>0</v>
      </c>
      <c r="AG9" s="82">
        <v>0.08</v>
      </c>
      <c r="AH9" s="81">
        <f t="shared" si="16"/>
        <v>0</v>
      </c>
      <c r="AI9" s="81">
        <f t="shared" si="17"/>
        <v>0</v>
      </c>
      <c r="AJ9" s="81">
        <f t="shared" si="5"/>
        <v>0</v>
      </c>
      <c r="AK9" s="80">
        <f t="shared" si="6"/>
        <v>0</v>
      </c>
      <c r="AL9" s="83">
        <f t="shared" si="7"/>
        <v>0</v>
      </c>
      <c r="AM9" s="3"/>
      <c r="AN9" s="3"/>
    </row>
    <row r="10" spans="1:40">
      <c r="C10" s="8"/>
      <c r="D10" s="8"/>
      <c r="E10" s="8"/>
      <c r="F10" s="9"/>
      <c r="G10" s="8"/>
      <c r="H10" s="8"/>
      <c r="I10" s="27"/>
      <c r="J10" s="130" t="str">
        <f>IF(O10=0,"",((R10+V10)/cont1)^(1/O10)-1)</f>
        <v/>
      </c>
      <c r="K10" s="130" t="str">
        <f>IF(O10=0,"",((AE10+AI10)/cont1)^(1/O10)-1)</f>
        <v/>
      </c>
      <c r="L10" s="27"/>
      <c r="N10" s="63">
        <f t="shared" si="18"/>
        <v>1985</v>
      </c>
      <c r="O10" s="63">
        <f t="shared" si="8"/>
        <v>0</v>
      </c>
      <c r="P10" s="65">
        <v>0.62242129655796075</v>
      </c>
      <c r="Q10" s="66">
        <f t="shared" si="9"/>
        <v>0</v>
      </c>
      <c r="R10" s="63">
        <f t="shared" si="10"/>
        <v>0</v>
      </c>
      <c r="S10" s="63">
        <f t="shared" si="0"/>
        <v>0</v>
      </c>
      <c r="T10" s="67">
        <v>8.5000000000000006E-2</v>
      </c>
      <c r="U10" s="66">
        <f t="shared" si="11"/>
        <v>0</v>
      </c>
      <c r="V10" s="66">
        <f t="shared" si="12"/>
        <v>0</v>
      </c>
      <c r="W10" s="66">
        <f t="shared" si="1"/>
        <v>0</v>
      </c>
      <c r="X10" s="65">
        <f t="shared" si="2"/>
        <v>0</v>
      </c>
      <c r="Y10" s="68">
        <f t="shared" si="3"/>
        <v>0</v>
      </c>
      <c r="Z10" s="3"/>
      <c r="AA10" s="78">
        <f t="shared" si="19"/>
        <v>1985</v>
      </c>
      <c r="AB10" s="78">
        <f t="shared" si="13"/>
        <v>0</v>
      </c>
      <c r="AC10" s="80">
        <v>0.62242129655796075</v>
      </c>
      <c r="AD10" s="81">
        <f t="shared" si="14"/>
        <v>0</v>
      </c>
      <c r="AE10" s="78">
        <f t="shared" si="15"/>
        <v>0</v>
      </c>
      <c r="AF10" s="78">
        <f t="shared" si="4"/>
        <v>0</v>
      </c>
      <c r="AG10" s="82">
        <v>8.5000000000000006E-2</v>
      </c>
      <c r="AH10" s="81">
        <f t="shared" si="16"/>
        <v>0</v>
      </c>
      <c r="AI10" s="81">
        <f t="shared" si="17"/>
        <v>0</v>
      </c>
      <c r="AJ10" s="81">
        <f t="shared" si="5"/>
        <v>0</v>
      </c>
      <c r="AK10" s="80">
        <f t="shared" si="6"/>
        <v>0</v>
      </c>
      <c r="AL10" s="83">
        <f t="shared" si="7"/>
        <v>0</v>
      </c>
      <c r="AM10" s="3"/>
      <c r="AN10" s="3"/>
    </row>
    <row r="11" spans="1:40" ht="15" thickBot="1">
      <c r="A11" s="13" t="s">
        <v>22</v>
      </c>
      <c r="B11" s="10"/>
      <c r="C11" s="10"/>
      <c r="D11" s="10"/>
      <c r="E11" s="10"/>
      <c r="F11" s="11"/>
      <c r="G11" s="8"/>
      <c r="H11" s="8"/>
      <c r="I11" s="27"/>
      <c r="J11" s="130" t="str">
        <f>IF(O11=0,"",((R11+V11)/cont1)^(1/O11)-1)</f>
        <v/>
      </c>
      <c r="K11" s="130" t="str">
        <f>IF(O11=0,"",((AE11+AI11)/cont1)^(1/O11)-1)</f>
        <v/>
      </c>
      <c r="L11" s="27"/>
      <c r="N11" s="63">
        <f t="shared" si="18"/>
        <v>1986</v>
      </c>
      <c r="O11" s="63">
        <f t="shared" si="8"/>
        <v>0</v>
      </c>
      <c r="P11" s="65">
        <v>-0.11104143805194128</v>
      </c>
      <c r="Q11" s="66">
        <f t="shared" si="9"/>
        <v>0</v>
      </c>
      <c r="R11" s="63">
        <f t="shared" si="10"/>
        <v>0</v>
      </c>
      <c r="S11" s="63">
        <f t="shared" si="0"/>
        <v>0</v>
      </c>
      <c r="T11" s="67">
        <v>8.5000000000000006E-2</v>
      </c>
      <c r="U11" s="66">
        <f t="shared" si="11"/>
        <v>0</v>
      </c>
      <c r="V11" s="66">
        <f t="shared" si="12"/>
        <v>0</v>
      </c>
      <c r="W11" s="66">
        <f t="shared" si="1"/>
        <v>0</v>
      </c>
      <c r="X11" s="65">
        <f t="shared" si="2"/>
        <v>0</v>
      </c>
      <c r="Y11" s="68">
        <f t="shared" si="3"/>
        <v>0</v>
      </c>
      <c r="Z11" s="3"/>
      <c r="AA11" s="78">
        <f t="shared" si="19"/>
        <v>1986</v>
      </c>
      <c r="AB11" s="78">
        <f t="shared" si="13"/>
        <v>0</v>
      </c>
      <c r="AC11" s="80">
        <v>-0.11104143805194128</v>
      </c>
      <c r="AD11" s="81">
        <f t="shared" si="14"/>
        <v>0</v>
      </c>
      <c r="AE11" s="78">
        <f t="shared" si="15"/>
        <v>0</v>
      </c>
      <c r="AF11" s="78">
        <f t="shared" si="4"/>
        <v>0</v>
      </c>
      <c r="AG11" s="82">
        <v>8.5000000000000006E-2</v>
      </c>
      <c r="AH11" s="81">
        <f t="shared" si="16"/>
        <v>0</v>
      </c>
      <c r="AI11" s="81">
        <f t="shared" si="17"/>
        <v>0</v>
      </c>
      <c r="AJ11" s="81">
        <f t="shared" si="5"/>
        <v>0</v>
      </c>
      <c r="AK11" s="80">
        <f t="shared" si="6"/>
        <v>0</v>
      </c>
      <c r="AL11" s="83">
        <f t="shared" si="7"/>
        <v>0</v>
      </c>
      <c r="AM11" s="3"/>
      <c r="AN11" s="3"/>
    </row>
    <row r="12" spans="1:40">
      <c r="I12" s="220"/>
      <c r="J12" s="130">
        <f>IF(O12=0,"",((R12+V12)/cont1)^(1/O12)-1)</f>
        <v>-0.12660333881965669</v>
      </c>
      <c r="K12" s="130">
        <f>IF(O12=0,"",((AE12+AI12)/cont1)^(1/O12)-1)</f>
        <v>-0.12660333881965669</v>
      </c>
      <c r="L12" s="220"/>
      <c r="N12" s="63">
        <f t="shared" si="18"/>
        <v>1987</v>
      </c>
      <c r="O12" s="63">
        <f t="shared" si="8"/>
        <v>1</v>
      </c>
      <c r="P12" s="65">
        <v>-0.21943334117093818</v>
      </c>
      <c r="Q12" s="66">
        <f t="shared" si="9"/>
        <v>70</v>
      </c>
      <c r="R12" s="63">
        <f t="shared" si="10"/>
        <v>54.639666118034327</v>
      </c>
      <c r="S12" s="63">
        <f t="shared" si="0"/>
        <v>0</v>
      </c>
      <c r="T12" s="67">
        <v>0.09</v>
      </c>
      <c r="U12" s="66">
        <f t="shared" si="11"/>
        <v>30.000000000000004</v>
      </c>
      <c r="V12" s="66">
        <f t="shared" si="12"/>
        <v>32.700000000000003</v>
      </c>
      <c r="W12" s="66">
        <f t="shared" si="1"/>
        <v>0</v>
      </c>
      <c r="X12" s="65">
        <f t="shared" si="2"/>
        <v>0.62559966790108967</v>
      </c>
      <c r="Y12" s="68">
        <f t="shared" si="3"/>
        <v>0.37440033209891038</v>
      </c>
      <c r="Z12" s="3"/>
      <c r="AA12" s="78">
        <f t="shared" si="19"/>
        <v>1987</v>
      </c>
      <c r="AB12" s="78">
        <f t="shared" si="13"/>
        <v>1</v>
      </c>
      <c r="AC12" s="80">
        <v>-0.21943334117093818</v>
      </c>
      <c r="AD12" s="81">
        <f t="shared" si="14"/>
        <v>70</v>
      </c>
      <c r="AE12" s="78">
        <f t="shared" si="15"/>
        <v>54.639666118034327</v>
      </c>
      <c r="AF12" s="78">
        <f t="shared" si="4"/>
        <v>0</v>
      </c>
      <c r="AG12" s="82">
        <v>0.09</v>
      </c>
      <c r="AH12" s="81">
        <f t="shared" si="16"/>
        <v>30.000000000000004</v>
      </c>
      <c r="AI12" s="81">
        <f t="shared" si="17"/>
        <v>32.700000000000003</v>
      </c>
      <c r="AJ12" s="81">
        <f t="shared" si="5"/>
        <v>0</v>
      </c>
      <c r="AK12" s="80">
        <f t="shared" si="6"/>
        <v>0.62559966790108967</v>
      </c>
      <c r="AL12" s="83">
        <f t="shared" si="7"/>
        <v>0.37440033209891038</v>
      </c>
      <c r="AM12" s="3"/>
      <c r="AN12" s="3"/>
    </row>
    <row r="13" spans="1:40">
      <c r="A13" s="38"/>
      <c r="B13" s="38" t="s">
        <v>26</v>
      </c>
      <c r="C13" s="38" t="s">
        <v>27</v>
      </c>
      <c r="D13" s="38" t="s">
        <v>28</v>
      </c>
      <c r="E13" s="38" t="s">
        <v>29</v>
      </c>
      <c r="F13" s="38" t="s">
        <v>30</v>
      </c>
      <c r="G13" s="225" t="s">
        <v>143</v>
      </c>
      <c r="H13" s="224"/>
      <c r="I13" s="27"/>
      <c r="J13" s="130">
        <f>IF(O13=0,"",((R13+V13)/cont1)^(1/O13)-1)</f>
        <v>0.15550425828562653</v>
      </c>
      <c r="K13" s="130">
        <f>IF(O13=0,"",((AE13+AI13)/cont1)^(1/O13)-1)</f>
        <v>0.17505797212149043</v>
      </c>
      <c r="L13" s="27"/>
      <c r="N13" s="63">
        <f t="shared" si="18"/>
        <v>1988</v>
      </c>
      <c r="O13" s="63">
        <f t="shared" si="8"/>
        <v>2</v>
      </c>
      <c r="P13" s="65">
        <v>0.79129954564851768</v>
      </c>
      <c r="Q13" s="66">
        <f t="shared" si="9"/>
        <v>0</v>
      </c>
      <c r="R13" s="63">
        <f t="shared" si="10"/>
        <v>97.876009091621597</v>
      </c>
      <c r="S13" s="63">
        <f t="shared" si="0"/>
        <v>0</v>
      </c>
      <c r="T13" s="67">
        <v>0.09</v>
      </c>
      <c r="U13" s="66">
        <f t="shared" si="11"/>
        <v>0</v>
      </c>
      <c r="V13" s="66">
        <f t="shared" si="12"/>
        <v>35.643000000000008</v>
      </c>
      <c r="W13" s="66">
        <f t="shared" si="1"/>
        <v>0</v>
      </c>
      <c r="X13" s="65">
        <f t="shared" si="2"/>
        <v>0.73304924712599129</v>
      </c>
      <c r="Y13" s="68">
        <f t="shared" si="3"/>
        <v>0.26695075287400877</v>
      </c>
      <c r="Z13" s="3"/>
      <c r="AA13" s="78">
        <f t="shared" si="19"/>
        <v>1988</v>
      </c>
      <c r="AB13" s="78">
        <f t="shared" si="13"/>
        <v>2</v>
      </c>
      <c r="AC13" s="80">
        <v>0.79129954564851768</v>
      </c>
      <c r="AD13" s="81">
        <f t="shared" si="14"/>
        <v>0</v>
      </c>
      <c r="AE13" s="78">
        <f t="shared" si="15"/>
        <v>109.51605296402968</v>
      </c>
      <c r="AF13" s="78">
        <f t="shared" si="4"/>
        <v>0</v>
      </c>
      <c r="AG13" s="82">
        <v>0.09</v>
      </c>
      <c r="AH13" s="81">
        <f t="shared" si="16"/>
        <v>0</v>
      </c>
      <c r="AI13" s="81">
        <f t="shared" si="17"/>
        <v>28.560070820597232</v>
      </c>
      <c r="AJ13" s="81">
        <f t="shared" si="5"/>
        <v>0</v>
      </c>
      <c r="AK13" s="80">
        <f t="shared" si="6"/>
        <v>0.79315706410511899</v>
      </c>
      <c r="AL13" s="83">
        <f t="shared" si="7"/>
        <v>0.20684293589488092</v>
      </c>
      <c r="AM13" s="3"/>
      <c r="AN13" s="3"/>
    </row>
    <row r="14" spans="1:40">
      <c r="A14" s="29" t="s">
        <v>25</v>
      </c>
      <c r="B14" s="156">
        <f>MAX(S2:S57)</f>
        <v>2387.1267340700674</v>
      </c>
      <c r="C14" s="156">
        <f>MAX(W2:W57)</f>
        <v>247.39399919743246</v>
      </c>
      <c r="D14" s="157">
        <f>B14+C14</f>
        <v>2634.5207332675</v>
      </c>
      <c r="E14" s="30">
        <f>B14/D14</f>
        <v>0.9060952544144153</v>
      </c>
      <c r="F14" s="30">
        <f>C14/D14</f>
        <v>9.3904745585584634E-2</v>
      </c>
      <c r="G14" s="226">
        <f>(D14/cont1)^(1/time1)-1</f>
        <v>0.13979845730760765</v>
      </c>
      <c r="H14" s="221"/>
      <c r="I14" s="26"/>
      <c r="J14" s="130">
        <f>IF(O14=0,"",((R14+V14)/cont1)^(1/O14)-1)</f>
        <v>0.13439070686789822</v>
      </c>
      <c r="K14" s="130">
        <f>IF(O14=0,"",((AE14+AI14)/cont1)^(1/O14)-1)</f>
        <v>0.14710024137852784</v>
      </c>
      <c r="L14" s="26"/>
      <c r="N14" s="63">
        <f t="shared" si="18"/>
        <v>1989</v>
      </c>
      <c r="O14" s="63">
        <f t="shared" si="8"/>
        <v>3</v>
      </c>
      <c r="P14" s="65">
        <v>9.4520739910313803E-2</v>
      </c>
      <c r="Q14" s="66">
        <f t="shared" si="9"/>
        <v>0</v>
      </c>
      <c r="R14" s="63">
        <f t="shared" si="10"/>
        <v>107.12732189043028</v>
      </c>
      <c r="S14" s="63">
        <f t="shared" si="0"/>
        <v>0</v>
      </c>
      <c r="T14" s="67">
        <v>0.09</v>
      </c>
      <c r="U14" s="66">
        <f t="shared" si="11"/>
        <v>0</v>
      </c>
      <c r="V14" s="66">
        <f t="shared" si="12"/>
        <v>38.850870000000015</v>
      </c>
      <c r="W14" s="66">
        <f t="shared" si="1"/>
        <v>0</v>
      </c>
      <c r="X14" s="65">
        <f t="shared" si="2"/>
        <v>0.73385839695040833</v>
      </c>
      <c r="Y14" s="68">
        <f t="shared" si="3"/>
        <v>0.26614160304959161</v>
      </c>
      <c r="Z14" s="3"/>
      <c r="AA14" s="78">
        <f t="shared" si="19"/>
        <v>1989</v>
      </c>
      <c r="AB14" s="78">
        <f t="shared" si="13"/>
        <v>3</v>
      </c>
      <c r="AC14" s="80">
        <v>9.4520739910313803E-2</v>
      </c>
      <c r="AD14" s="81">
        <f t="shared" si="14"/>
        <v>0</v>
      </c>
      <c r="AE14" s="78">
        <f t="shared" si="15"/>
        <v>105.78902681808857</v>
      </c>
      <c r="AF14" s="78">
        <f t="shared" si="4"/>
        <v>0</v>
      </c>
      <c r="AG14" s="82">
        <v>0.09</v>
      </c>
      <c r="AH14" s="81">
        <f t="shared" si="16"/>
        <v>0</v>
      </c>
      <c r="AI14" s="81">
        <f t="shared" si="17"/>
        <v>45.150892477573016</v>
      </c>
      <c r="AJ14" s="81">
        <f t="shared" si="5"/>
        <v>0</v>
      </c>
      <c r="AK14" s="80">
        <f t="shared" si="6"/>
        <v>0.70086844694059158</v>
      </c>
      <c r="AL14" s="83">
        <f t="shared" si="7"/>
        <v>0.29913155305940842</v>
      </c>
      <c r="AM14" s="3"/>
      <c r="AN14" s="3"/>
    </row>
    <row r="15" spans="1:40">
      <c r="A15" s="29" t="s">
        <v>31</v>
      </c>
      <c r="B15" s="156">
        <f>MAX(AF3:AF58)</f>
        <v>2185.8160302788833</v>
      </c>
      <c r="C15" s="156">
        <f>MAX(AJ3:AJ58)</f>
        <v>1161.7526780909513</v>
      </c>
      <c r="D15" s="157">
        <f>B15+C15</f>
        <v>3347.5687083698349</v>
      </c>
      <c r="E15" s="30">
        <f>B15/D15</f>
        <v>0.65295628580042198</v>
      </c>
      <c r="F15" s="30">
        <f>C15/D15</f>
        <v>0.34704371419957797</v>
      </c>
      <c r="G15" s="226">
        <f>(D15/cont1)^(1/time1)-1</f>
        <v>0.15077171825283542</v>
      </c>
      <c r="H15" s="221"/>
      <c r="I15" s="26"/>
      <c r="J15" s="130">
        <f>IF(O15=0,"",((R15+V15)/cont1)^(1/O15)-1)</f>
        <v>0.19297085272376746</v>
      </c>
      <c r="K15" s="130">
        <f>IF(O15=0,"",((AE15+AI15)/cont1)^(1/O15)-1)</f>
        <v>0.19999507521759363</v>
      </c>
      <c r="L15" s="26"/>
      <c r="N15" s="63">
        <f t="shared" si="18"/>
        <v>1990</v>
      </c>
      <c r="O15" s="63">
        <f t="shared" si="8"/>
        <v>4</v>
      </c>
      <c r="P15" s="65">
        <v>0.49538441841111336</v>
      </c>
      <c r="Q15" s="66">
        <f t="shared" si="9"/>
        <v>0</v>
      </c>
      <c r="R15" s="63">
        <f t="shared" si="10"/>
        <v>160.19652794106122</v>
      </c>
      <c r="S15" s="63">
        <f t="shared" si="0"/>
        <v>0</v>
      </c>
      <c r="T15" s="67">
        <v>0.09</v>
      </c>
      <c r="U15" s="66">
        <f t="shared" si="11"/>
        <v>0</v>
      </c>
      <c r="V15" s="66">
        <f t="shared" si="12"/>
        <v>42.347448300000018</v>
      </c>
      <c r="W15" s="66">
        <f t="shared" si="1"/>
        <v>0</v>
      </c>
      <c r="X15" s="65">
        <f t="shared" si="2"/>
        <v>0.79092220323748619</v>
      </c>
      <c r="Y15" s="68">
        <f t="shared" si="3"/>
        <v>0.20907779676251376</v>
      </c>
      <c r="Z15" s="3"/>
      <c r="AA15" s="78">
        <f t="shared" si="19"/>
        <v>1990</v>
      </c>
      <c r="AB15" s="78">
        <f t="shared" si="13"/>
        <v>4</v>
      </c>
      <c r="AC15" s="80">
        <v>0.49538441841111336</v>
      </c>
      <c r="AD15" s="81">
        <f t="shared" si="14"/>
        <v>0</v>
      </c>
      <c r="AE15" s="78">
        <f t="shared" si="15"/>
        <v>157.99924240167431</v>
      </c>
      <c r="AF15" s="78">
        <f t="shared" si="4"/>
        <v>0</v>
      </c>
      <c r="AG15" s="82">
        <v>0.09</v>
      </c>
      <c r="AH15" s="81">
        <f t="shared" si="16"/>
        <v>0</v>
      </c>
      <c r="AI15" s="81">
        <f t="shared" si="17"/>
        <v>49.357353609681347</v>
      </c>
      <c r="AJ15" s="81">
        <f t="shared" si="5"/>
        <v>0</v>
      </c>
      <c r="AK15" s="80">
        <f t="shared" si="6"/>
        <v>0.76196873135890819</v>
      </c>
      <c r="AL15" s="83">
        <f t="shared" si="7"/>
        <v>0.23803126864109181</v>
      </c>
      <c r="AM15" s="3"/>
      <c r="AN15" s="3"/>
    </row>
    <row r="16" spans="1:40">
      <c r="A16" s="27" t="s">
        <v>131</v>
      </c>
      <c r="I16" s="220"/>
      <c r="J16" s="130">
        <f>IF(O16=0,"",((R16+V16)/cont1)^(1/O16)-1)</f>
        <v>0.44735634812099323</v>
      </c>
      <c r="K16" s="130">
        <f>IF(O16=0,"",((AE16+AI16)/cont1)^(1/O16)-1)</f>
        <v>0.43201251150717113</v>
      </c>
      <c r="L16" s="220"/>
      <c r="N16" s="63">
        <f t="shared" si="18"/>
        <v>1991</v>
      </c>
      <c r="O16" s="63">
        <f t="shared" si="8"/>
        <v>5</v>
      </c>
      <c r="P16" s="65">
        <v>2.6687586153753942</v>
      </c>
      <c r="Q16" s="66">
        <f t="shared" si="9"/>
        <v>0</v>
      </c>
      <c r="R16" s="63">
        <f t="shared" si="10"/>
        <v>587.72239203699337</v>
      </c>
      <c r="S16" s="63">
        <f t="shared" si="0"/>
        <v>0</v>
      </c>
      <c r="T16" s="67">
        <v>0.12</v>
      </c>
      <c r="U16" s="66">
        <f t="shared" si="11"/>
        <v>0</v>
      </c>
      <c r="V16" s="66">
        <f t="shared" si="12"/>
        <v>47.429142096000021</v>
      </c>
      <c r="W16" s="66">
        <f t="shared" si="1"/>
        <v>0</v>
      </c>
      <c r="X16" s="65">
        <f t="shared" si="2"/>
        <v>0.925326257519408</v>
      </c>
      <c r="Y16" s="68">
        <f t="shared" si="3"/>
        <v>7.4673742480591887E-2</v>
      </c>
      <c r="Z16" s="3"/>
      <c r="AA16" s="78">
        <f t="shared" si="19"/>
        <v>1991</v>
      </c>
      <c r="AB16" s="78">
        <f t="shared" si="13"/>
        <v>5</v>
      </c>
      <c r="AC16" s="80">
        <v>2.6687586153753942</v>
      </c>
      <c r="AD16" s="81">
        <f t="shared" si="14"/>
        <v>0</v>
      </c>
      <c r="AE16" s="78">
        <f t="shared" si="15"/>
        <v>532.5189086501033</v>
      </c>
      <c r="AF16" s="78">
        <f t="shared" si="4"/>
        <v>0</v>
      </c>
      <c r="AG16" s="82">
        <v>0.12</v>
      </c>
      <c r="AH16" s="81">
        <f t="shared" si="16"/>
        <v>0</v>
      </c>
      <c r="AI16" s="81">
        <f t="shared" si="17"/>
        <v>69.671816259815515</v>
      </c>
      <c r="AJ16" s="81">
        <f t="shared" si="5"/>
        <v>0</v>
      </c>
      <c r="AK16" s="80">
        <f t="shared" si="6"/>
        <v>0.88430274101242978</v>
      </c>
      <c r="AL16" s="83">
        <f t="shared" si="7"/>
        <v>0.1156972589875702</v>
      </c>
      <c r="AM16" s="3"/>
      <c r="AN16" s="3"/>
    </row>
    <row r="17" spans="1:40">
      <c r="A17" s="37" t="s">
        <v>44</v>
      </c>
      <c r="B17" s="38"/>
      <c r="C17" s="169">
        <f>(D15-D14)/D14</f>
        <v>0.27065567034576626</v>
      </c>
      <c r="D17" s="39"/>
      <c r="J17" s="130">
        <f>IF(O17=0,"",((R17+V17)/cont1)^(1/O17)-1)</f>
        <v>0.24108722292400264</v>
      </c>
      <c r="K17" s="130">
        <f>IF(O17=0,"",((AE17+AI17)/cont1)^(1/O17)-1)</f>
        <v>0.27265299667956411</v>
      </c>
      <c r="N17" s="63">
        <f t="shared" si="18"/>
        <v>1992</v>
      </c>
      <c r="O17" s="63">
        <f t="shared" si="8"/>
        <v>6</v>
      </c>
      <c r="P17" s="65">
        <v>-0.4677899649941657</v>
      </c>
      <c r="Q17" s="66">
        <f t="shared" si="9"/>
        <v>0</v>
      </c>
      <c r="R17" s="63">
        <f t="shared" si="10"/>
        <v>312.79175483972091</v>
      </c>
      <c r="S17" s="63">
        <f t="shared" si="0"/>
        <v>0</v>
      </c>
      <c r="T17" s="67">
        <v>0.11</v>
      </c>
      <c r="U17" s="66">
        <f t="shared" si="11"/>
        <v>0</v>
      </c>
      <c r="V17" s="66">
        <f t="shared" si="12"/>
        <v>52.64634772656003</v>
      </c>
      <c r="W17" s="66">
        <f t="shared" si="1"/>
        <v>0</v>
      </c>
      <c r="X17" s="65">
        <f t="shared" si="2"/>
        <v>0.85593634775122729</v>
      </c>
      <c r="Y17" s="68">
        <f t="shared" si="3"/>
        <v>0.14406365224877271</v>
      </c>
      <c r="Z17" s="3"/>
      <c r="AA17" s="78">
        <f t="shared" si="19"/>
        <v>1992</v>
      </c>
      <c r="AB17" s="78">
        <f t="shared" si="13"/>
        <v>6</v>
      </c>
      <c r="AC17" s="80">
        <v>-0.4677899649941657</v>
      </c>
      <c r="AD17" s="81">
        <f t="shared" si="14"/>
        <v>0</v>
      </c>
      <c r="AE17" s="78">
        <f t="shared" si="15"/>
        <v>224.34436274914762</v>
      </c>
      <c r="AF17" s="78">
        <f t="shared" si="4"/>
        <v>0</v>
      </c>
      <c r="AG17" s="82">
        <v>0.11</v>
      </c>
      <c r="AH17" s="81">
        <f t="shared" si="16"/>
        <v>0</v>
      </c>
      <c r="AI17" s="81">
        <f t="shared" si="17"/>
        <v>200.52951139500303</v>
      </c>
      <c r="AJ17" s="81">
        <f t="shared" si="5"/>
        <v>0</v>
      </c>
      <c r="AK17" s="80">
        <f t="shared" si="6"/>
        <v>0.52802578930290345</v>
      </c>
      <c r="AL17" s="83">
        <f t="shared" si="7"/>
        <v>0.4719742106970965</v>
      </c>
      <c r="AM17" s="3"/>
      <c r="AN17" s="3"/>
    </row>
    <row r="18" spans="1:40" ht="15" thickBot="1">
      <c r="A18" s="205" t="s">
        <v>122</v>
      </c>
      <c r="B18" s="205"/>
      <c r="C18" s="205"/>
      <c r="D18" s="2"/>
      <c r="J18" s="130">
        <f>IF(O18=0,"",((R18+V18)/cont1)^(1/O18)-1)</f>
        <v>0.28427063791361995</v>
      </c>
      <c r="K18" s="130">
        <f>IF(O18=0,"",((AE18+AI18)/cont1)^(1/O18)-1)</f>
        <v>0.30163829029997324</v>
      </c>
      <c r="N18" s="63">
        <f t="shared" si="18"/>
        <v>1993</v>
      </c>
      <c r="O18" s="63">
        <f t="shared" si="8"/>
        <v>7</v>
      </c>
      <c r="P18" s="65">
        <v>0.65707382526792135</v>
      </c>
      <c r="Q18" s="66">
        <f t="shared" si="9"/>
        <v>0</v>
      </c>
      <c r="R18" s="63">
        <f t="shared" si="10"/>
        <v>518.31902970452222</v>
      </c>
      <c r="S18" s="63">
        <f t="shared" si="0"/>
        <v>0</v>
      </c>
      <c r="T18" s="67">
        <v>0.1</v>
      </c>
      <c r="U18" s="66">
        <f t="shared" si="11"/>
        <v>0</v>
      </c>
      <c r="V18" s="66">
        <f t="shared" si="12"/>
        <v>57.91098249921604</v>
      </c>
      <c r="W18" s="66">
        <f t="shared" si="1"/>
        <v>0</v>
      </c>
      <c r="X18" s="65">
        <f t="shared" si="2"/>
        <v>0.89950023207270846</v>
      </c>
      <c r="Y18" s="68">
        <f t="shared" si="3"/>
        <v>0.10049976792729148</v>
      </c>
      <c r="Z18" s="3"/>
      <c r="AA18" s="78">
        <f t="shared" si="19"/>
        <v>1993</v>
      </c>
      <c r="AB18" s="78">
        <f t="shared" si="13"/>
        <v>7</v>
      </c>
      <c r="AC18" s="80">
        <v>0.65707382526792135</v>
      </c>
      <c r="AD18" s="81">
        <f t="shared" si="14"/>
        <v>0</v>
      </c>
      <c r="AE18" s="78">
        <f t="shared" si="15"/>
        <v>492.83316311911437</v>
      </c>
      <c r="AF18" s="78">
        <f t="shared" si="4"/>
        <v>0</v>
      </c>
      <c r="AG18" s="82">
        <v>0.1</v>
      </c>
      <c r="AH18" s="81">
        <f t="shared" si="16"/>
        <v>0</v>
      </c>
      <c r="AI18" s="81">
        <f t="shared" si="17"/>
        <v>140.20837846756976</v>
      </c>
      <c r="AJ18" s="81">
        <f t="shared" si="5"/>
        <v>0</v>
      </c>
      <c r="AK18" s="80">
        <f t="shared" si="6"/>
        <v>0.77851630697703489</v>
      </c>
      <c r="AL18" s="83">
        <f t="shared" si="7"/>
        <v>0.22148369302296511</v>
      </c>
      <c r="AM18" s="3"/>
      <c r="AN18" s="3"/>
    </row>
    <row r="19" spans="1:40">
      <c r="A19" s="201" t="s">
        <v>119</v>
      </c>
      <c r="B19" s="202"/>
      <c r="C19" s="202"/>
      <c r="D19" s="142"/>
      <c r="E19" s="162"/>
      <c r="F19" s="8"/>
      <c r="G19" s="8"/>
      <c r="H19" s="8"/>
      <c r="I19" s="8"/>
      <c r="J19" s="130">
        <f>IF(O19=0,"",((R19+V19)/cont1)^(1/O19)-1)</f>
        <v>0.22633979654332825</v>
      </c>
      <c r="K19" s="130">
        <f>IF(O19=0,"",((AE19+AI19)/cont1)^(1/O19)-1)</f>
        <v>0.24924885303200517</v>
      </c>
      <c r="L19" s="8"/>
      <c r="N19" s="63">
        <f t="shared" si="18"/>
        <v>1994</v>
      </c>
      <c r="O19" s="63">
        <f t="shared" si="8"/>
        <v>8</v>
      </c>
      <c r="P19" s="65">
        <v>-0.13708160116856616</v>
      </c>
      <c r="Q19" s="66">
        <f t="shared" si="9"/>
        <v>0</v>
      </c>
      <c r="R19" s="63">
        <f t="shared" si="10"/>
        <v>447.2670271964887</v>
      </c>
      <c r="S19" s="63">
        <f t="shared" si="0"/>
        <v>0</v>
      </c>
      <c r="T19" s="67">
        <v>0.11</v>
      </c>
      <c r="U19" s="66">
        <f t="shared" si="11"/>
        <v>0</v>
      </c>
      <c r="V19" s="66">
        <f t="shared" si="12"/>
        <v>64.281190574129809</v>
      </c>
      <c r="W19" s="66">
        <f t="shared" si="1"/>
        <v>0</v>
      </c>
      <c r="X19" s="65">
        <f t="shared" si="2"/>
        <v>0.87433991881689266</v>
      </c>
      <c r="Y19" s="68">
        <f t="shared" si="3"/>
        <v>0.12566008118310737</v>
      </c>
      <c r="Z19" s="3"/>
      <c r="AA19" s="78">
        <f t="shared" si="19"/>
        <v>1994</v>
      </c>
      <c r="AB19" s="78">
        <f t="shared" si="13"/>
        <v>8</v>
      </c>
      <c r="AC19" s="80">
        <v>-0.13708160116856616</v>
      </c>
      <c r="AD19" s="81">
        <f t="shared" si="14"/>
        <v>0</v>
      </c>
      <c r="AE19" s="78">
        <f t="shared" si="15"/>
        <v>382.38423542183483</v>
      </c>
      <c r="AF19" s="78">
        <f t="shared" si="4"/>
        <v>0</v>
      </c>
      <c r="AG19" s="82">
        <v>0.11</v>
      </c>
      <c r="AH19" s="81">
        <f t="shared" si="16"/>
        <v>0</v>
      </c>
      <c r="AI19" s="81">
        <f t="shared" si="17"/>
        <v>210.80283334836588</v>
      </c>
      <c r="AJ19" s="81">
        <f t="shared" si="5"/>
        <v>0</v>
      </c>
      <c r="AK19" s="80">
        <f t="shared" si="6"/>
        <v>0.64462672157469025</v>
      </c>
      <c r="AL19" s="83">
        <f t="shared" si="7"/>
        <v>0.35537327842530969</v>
      </c>
      <c r="AM19" s="3"/>
      <c r="AN19" s="3"/>
    </row>
    <row r="20" spans="1:40">
      <c r="A20" s="203" t="s">
        <v>120</v>
      </c>
      <c r="B20" s="204"/>
      <c r="C20" s="204"/>
      <c r="D20" s="143"/>
      <c r="E20" s="163"/>
      <c r="J20" s="130">
        <f>IF(O20=0,"",((R20+V20)/cont1)^(1/O20)-1)</f>
        <v>0.20452430068669569</v>
      </c>
      <c r="K20" s="130">
        <f>IF(O20=0,"",((AE20+AI20)/cont1)^(1/O20)-1)</f>
        <v>0.22648367085282461</v>
      </c>
      <c r="N20" s="63">
        <f t="shared" si="18"/>
        <v>1995</v>
      </c>
      <c r="O20" s="63">
        <f t="shared" si="8"/>
        <v>9</v>
      </c>
      <c r="P20" s="65">
        <v>3.2398434816741109E-2</v>
      </c>
      <c r="Q20" s="66">
        <f t="shared" si="9"/>
        <v>0</v>
      </c>
      <c r="R20" s="63">
        <f t="shared" si="10"/>
        <v>461.75777882279175</v>
      </c>
      <c r="S20" s="63">
        <f t="shared" si="0"/>
        <v>0</v>
      </c>
      <c r="T20" s="67">
        <v>0.12</v>
      </c>
      <c r="U20" s="66">
        <f t="shared" si="11"/>
        <v>0</v>
      </c>
      <c r="V20" s="66">
        <f t="shared" si="12"/>
        <v>71.994933443025388</v>
      </c>
      <c r="W20" s="66">
        <f t="shared" si="1"/>
        <v>0</v>
      </c>
      <c r="X20" s="65">
        <f t="shared" si="2"/>
        <v>0.8651155642143683</v>
      </c>
      <c r="Y20" s="68">
        <f t="shared" si="3"/>
        <v>0.13488443578563175</v>
      </c>
      <c r="Z20" s="3"/>
      <c r="AA20" s="78">
        <f t="shared" si="19"/>
        <v>1995</v>
      </c>
      <c r="AB20" s="78">
        <f t="shared" si="13"/>
        <v>9</v>
      </c>
      <c r="AC20" s="80">
        <v>3.2398434816741109E-2</v>
      </c>
      <c r="AD20" s="81">
        <f t="shared" si="14"/>
        <v>0</v>
      </c>
      <c r="AE20" s="78">
        <f t="shared" si="15"/>
        <v>428.68378094632016</v>
      </c>
      <c r="AF20" s="78">
        <f t="shared" si="4"/>
        <v>0</v>
      </c>
      <c r="AG20" s="82">
        <v>0.12</v>
      </c>
      <c r="AH20" s="81">
        <f t="shared" si="16"/>
        <v>0</v>
      </c>
      <c r="AI20" s="81">
        <f t="shared" si="17"/>
        <v>199.3108551067875</v>
      </c>
      <c r="AJ20" s="81">
        <f t="shared" si="5"/>
        <v>0</v>
      </c>
      <c r="AK20" s="80">
        <f t="shared" si="6"/>
        <v>0.68262331608524696</v>
      </c>
      <c r="AL20" s="83">
        <f t="shared" si="7"/>
        <v>0.31737668391475299</v>
      </c>
      <c r="AM20" s="3"/>
      <c r="AN20" s="3"/>
    </row>
    <row r="21" spans="1:40">
      <c r="A21" s="203" t="s">
        <v>121</v>
      </c>
      <c r="B21" s="204"/>
      <c r="C21" s="204"/>
      <c r="D21" s="143"/>
      <c r="E21" s="163"/>
      <c r="J21" s="130">
        <f>IF(O21=0,"",((R21+V21)/cont1)^(1/O21)-1)</f>
        <v>0.1840457186274651</v>
      </c>
      <c r="K21" s="130">
        <f>IF(O21=0,"",((AE21+AI21)/cont1)^(1/O21)-1)</f>
        <v>0.20581778010924912</v>
      </c>
      <c r="N21" s="63">
        <f t="shared" si="18"/>
        <v>1996</v>
      </c>
      <c r="O21" s="63">
        <f t="shared" si="8"/>
        <v>10</v>
      </c>
      <c r="P21" s="65">
        <v>-1.6990384986678749E-3</v>
      </c>
      <c r="Q21" s="66">
        <f t="shared" si="9"/>
        <v>0</v>
      </c>
      <c r="R21" s="63">
        <f t="shared" si="10"/>
        <v>460.97323457951245</v>
      </c>
      <c r="S21" s="63">
        <f t="shared" si="0"/>
        <v>0</v>
      </c>
      <c r="T21" s="67">
        <v>0.12</v>
      </c>
      <c r="U21" s="66">
        <f t="shared" si="11"/>
        <v>0</v>
      </c>
      <c r="V21" s="66">
        <f t="shared" si="12"/>
        <v>80.634325456188449</v>
      </c>
      <c r="W21" s="66">
        <f t="shared" si="1"/>
        <v>0</v>
      </c>
      <c r="X21" s="65">
        <f t="shared" si="2"/>
        <v>0.85112038419317249</v>
      </c>
      <c r="Y21" s="68">
        <f t="shared" si="3"/>
        <v>0.14887961580682757</v>
      </c>
      <c r="Z21" s="3"/>
      <c r="AA21" s="78">
        <f t="shared" si="19"/>
        <v>1996</v>
      </c>
      <c r="AB21" s="78">
        <f t="shared" si="13"/>
        <v>10</v>
      </c>
      <c r="AC21" s="80">
        <v>-1.6990384986678749E-3</v>
      </c>
      <c r="AD21" s="81">
        <f t="shared" si="14"/>
        <v>0</v>
      </c>
      <c r="AE21" s="78">
        <f t="shared" si="15"/>
        <v>438.84935429264755</v>
      </c>
      <c r="AF21" s="78">
        <f t="shared" si="4"/>
        <v>0</v>
      </c>
      <c r="AG21" s="82">
        <v>0.12</v>
      </c>
      <c r="AH21" s="81">
        <f t="shared" si="16"/>
        <v>0</v>
      </c>
      <c r="AI21" s="81">
        <f t="shared" si="17"/>
        <v>211.00619771384424</v>
      </c>
      <c r="AJ21" s="81">
        <f t="shared" si="5"/>
        <v>0</v>
      </c>
      <c r="AK21" s="80">
        <f t="shared" si="6"/>
        <v>0.675302923761531</v>
      </c>
      <c r="AL21" s="83">
        <f t="shared" si="7"/>
        <v>0.32469707623846905</v>
      </c>
      <c r="AM21" s="3"/>
      <c r="AN21" s="3"/>
    </row>
    <row r="22" spans="1:40" ht="15" thickBot="1">
      <c r="A22" s="160">
        <f>D3</f>
        <v>1980</v>
      </c>
      <c r="B22" s="144" t="s">
        <v>11</v>
      </c>
      <c r="C22" s="161">
        <f>F3</f>
        <v>1987</v>
      </c>
      <c r="D22" s="145"/>
      <c r="E22" s="164"/>
      <c r="J22" s="130">
        <f>IF(O22=0,"",((R22+V22)/cont1)^(1/O22)-1)</f>
        <v>0.18100894925133049</v>
      </c>
      <c r="K22" s="130">
        <f>IF(O22=0,"",((AE22+AI22)/cont1)^(1/O22)-1)</f>
        <v>0.20004111070399455</v>
      </c>
      <c r="N22" s="63">
        <f t="shared" si="18"/>
        <v>1997</v>
      </c>
      <c r="O22" s="63">
        <f t="shared" si="8"/>
        <v>11</v>
      </c>
      <c r="P22" s="65">
        <v>0.15824974932235217</v>
      </c>
      <c r="Q22" s="66">
        <f t="shared" si="9"/>
        <v>0</v>
      </c>
      <c r="R22" s="63">
        <f t="shared" si="10"/>
        <v>533.92213339603416</v>
      </c>
      <c r="S22" s="63">
        <f t="shared" si="0"/>
        <v>0</v>
      </c>
      <c r="T22" s="67">
        <v>0.11</v>
      </c>
      <c r="U22" s="66">
        <f t="shared" si="11"/>
        <v>0</v>
      </c>
      <c r="V22" s="66">
        <f t="shared" si="12"/>
        <v>89.504101256369182</v>
      </c>
      <c r="W22" s="66">
        <f t="shared" si="1"/>
        <v>0</v>
      </c>
      <c r="X22" s="65">
        <f t="shared" si="2"/>
        <v>0.85643193006423135</v>
      </c>
      <c r="Y22" s="68">
        <f t="shared" si="3"/>
        <v>0.14356806993576871</v>
      </c>
      <c r="Z22" s="3"/>
      <c r="AA22" s="78">
        <f t="shared" si="19"/>
        <v>1997</v>
      </c>
      <c r="AB22" s="78">
        <f t="shared" si="13"/>
        <v>11</v>
      </c>
      <c r="AC22" s="80">
        <v>0.15824974932235217</v>
      </c>
      <c r="AD22" s="81">
        <f t="shared" si="14"/>
        <v>0</v>
      </c>
      <c r="AE22" s="78">
        <f t="shared" si="15"/>
        <v>526.88652114508045</v>
      </c>
      <c r="AF22" s="78">
        <f t="shared" si="4"/>
        <v>0</v>
      </c>
      <c r="AG22" s="82">
        <v>0.11</v>
      </c>
      <c r="AH22" s="81">
        <f t="shared" si="16"/>
        <v>0</v>
      </c>
      <c r="AI22" s="81">
        <f t="shared" si="17"/>
        <v>216.40189881816181</v>
      </c>
      <c r="AJ22" s="81">
        <f t="shared" si="5"/>
        <v>0</v>
      </c>
      <c r="AK22" s="80">
        <f t="shared" si="6"/>
        <v>0.70885877809200426</v>
      </c>
      <c r="AL22" s="83">
        <f t="shared" si="7"/>
        <v>0.29114122190799568</v>
      </c>
      <c r="AM22" s="3"/>
      <c r="AN22" s="3"/>
    </row>
    <row r="23" spans="1:40" ht="15" thickBot="1">
      <c r="A23" s="154" t="s">
        <v>127</v>
      </c>
      <c r="B23" s="10"/>
      <c r="C23" s="10"/>
      <c r="D23" s="159">
        <f>AVERAGE(B26:B48)</f>
        <v>0.14664428892898157</v>
      </c>
      <c r="J23" s="130">
        <f>IF(O23=0,"",((R23+V23)/cont1)^(1/O23)-1)</f>
        <v>0.16293327939584157</v>
      </c>
      <c r="K23" s="130">
        <f>IF(O23=0,"",((AE23+AI23)/cont1)^(1/O23)-1)</f>
        <v>0.18233848838020661</v>
      </c>
      <c r="N23" s="63">
        <f t="shared" si="18"/>
        <v>1998</v>
      </c>
      <c r="O23" s="63">
        <f t="shared" si="8"/>
        <v>12</v>
      </c>
      <c r="P23" s="65">
        <v>-3.9249887611585633E-2</v>
      </c>
      <c r="Q23" s="66">
        <f t="shared" si="9"/>
        <v>0</v>
      </c>
      <c r="R23" s="63">
        <f t="shared" si="10"/>
        <v>512.96574966690173</v>
      </c>
      <c r="S23" s="63">
        <f t="shared" si="0"/>
        <v>0</v>
      </c>
      <c r="T23" s="67">
        <v>0.105</v>
      </c>
      <c r="U23" s="66">
        <f t="shared" si="11"/>
        <v>0</v>
      </c>
      <c r="V23" s="66">
        <f t="shared" si="12"/>
        <v>98.902031888287951</v>
      </c>
      <c r="W23" s="66">
        <f t="shared" si="1"/>
        <v>0</v>
      </c>
      <c r="X23" s="65">
        <f t="shared" si="2"/>
        <v>0.83836045160458061</v>
      </c>
      <c r="Y23" s="68">
        <f t="shared" si="3"/>
        <v>0.16163954839541933</v>
      </c>
      <c r="Z23" s="3"/>
      <c r="AA23" s="78">
        <f t="shared" si="19"/>
        <v>1998</v>
      </c>
      <c r="AB23" s="78">
        <f t="shared" si="13"/>
        <v>12</v>
      </c>
      <c r="AC23" s="80">
        <v>-3.9249887611585633E-2</v>
      </c>
      <c r="AD23" s="81">
        <f t="shared" si="14"/>
        <v>0</v>
      </c>
      <c r="AE23" s="78">
        <f t="shared" si="15"/>
        <v>499.88010311168432</v>
      </c>
      <c r="AF23" s="78">
        <f t="shared" si="4"/>
        <v>0</v>
      </c>
      <c r="AG23" s="82">
        <v>0.105</v>
      </c>
      <c r="AH23" s="81">
        <f t="shared" si="16"/>
        <v>0</v>
      </c>
      <c r="AI23" s="81">
        <f t="shared" si="17"/>
        <v>246.40011121781484</v>
      </c>
      <c r="AJ23" s="81">
        <f t="shared" si="5"/>
        <v>0</v>
      </c>
      <c r="AK23" s="80">
        <f t="shared" si="6"/>
        <v>0.6698289643934956</v>
      </c>
      <c r="AL23" s="83">
        <f t="shared" si="7"/>
        <v>0.33017103560650446</v>
      </c>
      <c r="AM23" s="3"/>
      <c r="AN23" s="3"/>
    </row>
    <row r="24" spans="1:40">
      <c r="J24" s="130">
        <f>IF(O24=0,"",((R24+V24)/cont1)^(1/O24)-1)</f>
        <v>0.17269866456982119</v>
      </c>
      <c r="K24" s="130">
        <f>IF(O24=0,"",((AE24+AI24)/cont1)^(1/O24)-1)</f>
        <v>0.18825305060737274</v>
      </c>
      <c r="N24" s="63">
        <f t="shared" si="18"/>
        <v>1999</v>
      </c>
      <c r="O24" s="63">
        <f t="shared" si="8"/>
        <v>13</v>
      </c>
      <c r="P24" s="65">
        <v>0.33725494390314326</v>
      </c>
      <c r="Q24" s="66">
        <f t="shared" si="9"/>
        <v>0</v>
      </c>
      <c r="R24" s="63">
        <f t="shared" si="10"/>
        <v>685.96598479504655</v>
      </c>
      <c r="S24" s="63">
        <f t="shared" si="0"/>
        <v>0</v>
      </c>
      <c r="T24" s="67">
        <v>8.5000000000000006E-2</v>
      </c>
      <c r="U24" s="66">
        <f t="shared" si="11"/>
        <v>0</v>
      </c>
      <c r="V24" s="66">
        <f t="shared" si="12"/>
        <v>107.30870459879242</v>
      </c>
      <c r="W24" s="66">
        <f t="shared" si="1"/>
        <v>0</v>
      </c>
      <c r="X24" s="65">
        <f t="shared" si="2"/>
        <v>0.86472692746469737</v>
      </c>
      <c r="Y24" s="68">
        <f t="shared" si="3"/>
        <v>0.13527307253530257</v>
      </c>
      <c r="Z24" s="3"/>
      <c r="AA24" s="78">
        <f t="shared" si="19"/>
        <v>1999</v>
      </c>
      <c r="AB24" s="78">
        <f t="shared" si="13"/>
        <v>13</v>
      </c>
      <c r="AC24" s="80">
        <v>0.33725494390314326</v>
      </c>
      <c r="AD24" s="81">
        <f t="shared" si="14"/>
        <v>0</v>
      </c>
      <c r="AE24" s="78">
        <f t="shared" si="15"/>
        <v>698.576834304454</v>
      </c>
      <c r="AF24" s="78">
        <f t="shared" si="4"/>
        <v>0</v>
      </c>
      <c r="AG24" s="82">
        <v>8.5000000000000006E-2</v>
      </c>
      <c r="AH24" s="81">
        <f t="shared" si="16"/>
        <v>0</v>
      </c>
      <c r="AI24" s="81">
        <f t="shared" si="17"/>
        <v>242.91420976425201</v>
      </c>
      <c r="AJ24" s="81">
        <f t="shared" si="5"/>
        <v>0</v>
      </c>
      <c r="AK24" s="80">
        <f t="shared" si="6"/>
        <v>0.74198988796060683</v>
      </c>
      <c r="AL24" s="83">
        <f t="shared" si="7"/>
        <v>0.25801011203939306</v>
      </c>
      <c r="AM24" s="3"/>
      <c r="AN24" s="3"/>
    </row>
    <row r="25" spans="1:40">
      <c r="A25" s="123" t="s">
        <v>0</v>
      </c>
      <c r="B25" s="123" t="s">
        <v>118</v>
      </c>
      <c r="C25" s="151"/>
      <c r="D25" s="151"/>
      <c r="J25" s="130">
        <f>IF(O25=0,"",((R25+V25)/cont1)^(1/O25)-1)</f>
        <v>0.13798263439855951</v>
      </c>
      <c r="K25" s="130">
        <f>IF(O25=0,"",((AE25+AI25)/cont1)^(1/O25)-1)</f>
        <v>0.15818401658534809</v>
      </c>
      <c r="N25" s="63">
        <f t="shared" si="18"/>
        <v>2000</v>
      </c>
      <c r="O25" s="63">
        <f t="shared" si="8"/>
        <v>14</v>
      </c>
      <c r="P25" s="65">
        <v>-0.27930849702476163</v>
      </c>
      <c r="Q25" s="66">
        <f t="shared" si="9"/>
        <v>0</v>
      </c>
      <c r="R25" s="63">
        <f t="shared" si="10"/>
        <v>494.36985657183158</v>
      </c>
      <c r="S25" s="63">
        <f t="shared" si="0"/>
        <v>0</v>
      </c>
      <c r="T25" s="67">
        <v>8.5000000000000006E-2</v>
      </c>
      <c r="U25" s="66">
        <f t="shared" si="11"/>
        <v>0</v>
      </c>
      <c r="V25" s="66">
        <f t="shared" si="12"/>
        <v>116.42994448968977</v>
      </c>
      <c r="W25" s="66">
        <f t="shared" si="1"/>
        <v>0</v>
      </c>
      <c r="X25" s="65">
        <f t="shared" si="2"/>
        <v>0.8093811682856743</v>
      </c>
      <c r="Y25" s="68">
        <f t="shared" si="3"/>
        <v>0.19061883171432575</v>
      </c>
      <c r="Z25" s="3"/>
      <c r="AA25" s="78">
        <f t="shared" si="19"/>
        <v>2000</v>
      </c>
      <c r="AB25" s="78">
        <f t="shared" si="13"/>
        <v>14</v>
      </c>
      <c r="AC25" s="80">
        <v>-0.27930849702476163</v>
      </c>
      <c r="AD25" s="81">
        <f t="shared" si="14"/>
        <v>0</v>
      </c>
      <c r="AE25" s="78">
        <f t="shared" si="15"/>
        <v>474.96721691132149</v>
      </c>
      <c r="AF25" s="78">
        <f t="shared" si="4"/>
        <v>0</v>
      </c>
      <c r="AG25" s="82">
        <v>8.5000000000000006E-2</v>
      </c>
      <c r="AH25" s="81">
        <f t="shared" si="16"/>
        <v>0</v>
      </c>
      <c r="AI25" s="81">
        <f t="shared" si="17"/>
        <v>306.45533484436385</v>
      </c>
      <c r="AJ25" s="81">
        <f t="shared" si="5"/>
        <v>0</v>
      </c>
      <c r="AK25" s="80">
        <f t="shared" si="6"/>
        <v>0.60782378988701324</v>
      </c>
      <c r="AL25" s="83">
        <f t="shared" si="7"/>
        <v>0.39217621011298665</v>
      </c>
      <c r="AM25" s="3"/>
      <c r="AN25" s="3"/>
    </row>
    <row r="26" spans="1:40">
      <c r="A26" s="119">
        <v>1980</v>
      </c>
      <c r="B26" s="129">
        <v>0.10433950773826431</v>
      </c>
      <c r="C26" s="152"/>
      <c r="D26" s="147"/>
      <c r="J26" s="130">
        <f>IF(O26=0,"",((R26+V26)/cont1)^(1/O26)-1)</f>
        <v>0.12700417052904545</v>
      </c>
      <c r="K26" s="130">
        <f>IF(O26=0,"",((AE26+AI26)/cont1)^(1/O26)-1)</f>
        <v>0.14661523886664241</v>
      </c>
      <c r="N26" s="63">
        <f t="shared" si="18"/>
        <v>2001</v>
      </c>
      <c r="O26" s="63">
        <f t="shared" si="8"/>
        <v>15</v>
      </c>
      <c r="P26" s="65">
        <v>-3.7462753649726219E-2</v>
      </c>
      <c r="Q26" s="66">
        <f t="shared" si="9"/>
        <v>0</v>
      </c>
      <c r="R26" s="63">
        <f t="shared" si="10"/>
        <v>475.84940042323058</v>
      </c>
      <c r="S26" s="63">
        <f t="shared" si="0"/>
        <v>0</v>
      </c>
      <c r="T26" s="67">
        <v>7.4999999999999997E-2</v>
      </c>
      <c r="U26" s="66">
        <f t="shared" si="11"/>
        <v>0</v>
      </c>
      <c r="V26" s="66">
        <f t="shared" si="12"/>
        <v>125.16219032641651</v>
      </c>
      <c r="W26" s="66">
        <f t="shared" si="1"/>
        <v>0</v>
      </c>
      <c r="X26" s="65">
        <f t="shared" si="2"/>
        <v>0.79174746002768326</v>
      </c>
      <c r="Y26" s="68">
        <f t="shared" si="3"/>
        <v>0.20825253997231666</v>
      </c>
      <c r="Z26" s="3"/>
      <c r="AA26" s="78">
        <f t="shared" si="19"/>
        <v>2001</v>
      </c>
      <c r="AB26" s="78">
        <f t="shared" si="13"/>
        <v>15</v>
      </c>
      <c r="AC26" s="80">
        <v>-3.7462753649726219E-2</v>
      </c>
      <c r="AD26" s="81">
        <f t="shared" si="14"/>
        <v>0</v>
      </c>
      <c r="AE26" s="78">
        <f t="shared" si="15"/>
        <v>526.50381784204512</v>
      </c>
      <c r="AF26" s="78">
        <f t="shared" si="4"/>
        <v>0</v>
      </c>
      <c r="AG26" s="82">
        <v>7.4999999999999997E-2</v>
      </c>
      <c r="AH26" s="81">
        <f t="shared" si="16"/>
        <v>0</v>
      </c>
      <c r="AI26" s="81">
        <f t="shared" si="17"/>
        <v>252.00877294120858</v>
      </c>
      <c r="AJ26" s="81">
        <f t="shared" si="5"/>
        <v>0</v>
      </c>
      <c r="AK26" s="80">
        <f t="shared" si="6"/>
        <v>0.67629454433400349</v>
      </c>
      <c r="AL26" s="83">
        <f t="shared" si="7"/>
        <v>0.32370545566599646</v>
      </c>
      <c r="AM26" s="3"/>
      <c r="AN26" s="3"/>
    </row>
    <row r="27" spans="1:40">
      <c r="A27" s="119">
        <v>1981</v>
      </c>
      <c r="B27" s="129">
        <v>5.4527041130009266E-2</v>
      </c>
      <c r="C27" s="152"/>
      <c r="D27" s="147"/>
      <c r="J27" s="130">
        <f>IF(O27=0,"",((R27+V27)/cont1)^(1/O27)-1)</f>
        <v>0.11225758639828398</v>
      </c>
      <c r="K27" s="130">
        <f>IF(O27=0,"",((AE27+AI27)/cont1)^(1/O27)-1)</f>
        <v>0.13154639141650892</v>
      </c>
      <c r="N27" s="63">
        <f t="shared" si="18"/>
        <v>2002</v>
      </c>
      <c r="O27" s="63">
        <f t="shared" si="8"/>
        <v>16</v>
      </c>
      <c r="P27" s="65">
        <v>-0.12124173116001562</v>
      </c>
      <c r="Q27" s="66">
        <f t="shared" si="9"/>
        <v>0</v>
      </c>
      <c r="R27" s="63">
        <f t="shared" si="10"/>
        <v>418.15659534446263</v>
      </c>
      <c r="S27" s="63">
        <f t="shared" si="0"/>
        <v>0</v>
      </c>
      <c r="T27" s="67">
        <v>4.2500000000000003E-2</v>
      </c>
      <c r="U27" s="66">
        <f t="shared" si="11"/>
        <v>0</v>
      </c>
      <c r="V27" s="66">
        <f t="shared" si="12"/>
        <v>130.48158341528921</v>
      </c>
      <c r="W27" s="66">
        <f t="shared" si="1"/>
        <v>0</v>
      </c>
      <c r="X27" s="65">
        <f t="shared" si="2"/>
        <v>0.762171885831469</v>
      </c>
      <c r="Y27" s="68">
        <f t="shared" si="3"/>
        <v>0.23782811416853109</v>
      </c>
      <c r="Z27" s="3"/>
      <c r="AA27" s="78">
        <f t="shared" si="19"/>
        <v>2002</v>
      </c>
      <c r="AB27" s="78">
        <f t="shared" si="13"/>
        <v>16</v>
      </c>
      <c r="AC27" s="80">
        <v>-0.12124173116001562</v>
      </c>
      <c r="AD27" s="81">
        <f t="shared" si="14"/>
        <v>0</v>
      </c>
      <c r="AE27" s="78">
        <f t="shared" si="15"/>
        <v>478.88706358277625</v>
      </c>
      <c r="AF27" s="78">
        <f t="shared" si="4"/>
        <v>0</v>
      </c>
      <c r="AG27" s="82">
        <v>4.2500000000000003E-2</v>
      </c>
      <c r="AH27" s="81">
        <f t="shared" si="16"/>
        <v>0</v>
      </c>
      <c r="AI27" s="81">
        <f t="shared" si="17"/>
        <v>243.47981276746262</v>
      </c>
      <c r="AJ27" s="81">
        <f t="shared" si="5"/>
        <v>0</v>
      </c>
      <c r="AK27" s="80">
        <f t="shared" si="6"/>
        <v>0.6629416149344427</v>
      </c>
      <c r="AL27" s="83">
        <f t="shared" si="7"/>
        <v>0.3370583850655573</v>
      </c>
      <c r="AM27" s="3"/>
      <c r="AN27" s="3"/>
    </row>
    <row r="28" spans="1:40">
      <c r="A28" s="119">
        <v>1982</v>
      </c>
      <c r="B28" s="129">
        <v>6.961731037630732E-2</v>
      </c>
      <c r="C28" s="152"/>
      <c r="D28" s="147"/>
      <c r="J28" s="130">
        <f>IF(O28=0,"",((R28+V28)/cont1)^(1/O28)-1)</f>
        <v>0.13815834625027712</v>
      </c>
      <c r="K28" s="130">
        <f>IF(O28=0,"",((AE28+AI28)/cont1)^(1/O28)-1)</f>
        <v>0.15465518343448736</v>
      </c>
      <c r="N28" s="63">
        <f t="shared" si="18"/>
        <v>2003</v>
      </c>
      <c r="O28" s="63">
        <f t="shared" si="8"/>
        <v>17</v>
      </c>
      <c r="P28" s="65">
        <v>0.8337531816631244</v>
      </c>
      <c r="Q28" s="66">
        <f t="shared" si="9"/>
        <v>0</v>
      </c>
      <c r="R28" s="63">
        <f t="shared" si="10"/>
        <v>766.79598714632789</v>
      </c>
      <c r="S28" s="63">
        <f t="shared" si="0"/>
        <v>0</v>
      </c>
      <c r="T28" s="67">
        <v>0.04</v>
      </c>
      <c r="U28" s="66">
        <f t="shared" si="11"/>
        <v>0</v>
      </c>
      <c r="V28" s="66">
        <f t="shared" si="12"/>
        <v>135.70084675190077</v>
      </c>
      <c r="W28" s="66">
        <f t="shared" si="1"/>
        <v>0</v>
      </c>
      <c r="X28" s="65">
        <f t="shared" si="2"/>
        <v>0.84963842347705865</v>
      </c>
      <c r="Y28" s="68">
        <f t="shared" si="3"/>
        <v>0.1503615765229413</v>
      </c>
      <c r="Z28" s="3"/>
      <c r="AA28" s="78">
        <f t="shared" si="19"/>
        <v>2003</v>
      </c>
      <c r="AB28" s="78">
        <f t="shared" si="13"/>
        <v>17</v>
      </c>
      <c r="AC28" s="80">
        <v>0.8337531816631244</v>
      </c>
      <c r="AD28" s="81">
        <f t="shared" si="14"/>
        <v>0</v>
      </c>
      <c r="AE28" s="78">
        <f t="shared" si="15"/>
        <v>927.24979048471209</v>
      </c>
      <c r="AF28" s="78">
        <f t="shared" si="4"/>
        <v>0</v>
      </c>
      <c r="AG28" s="82">
        <v>0.04</v>
      </c>
      <c r="AH28" s="81">
        <f t="shared" si="16"/>
        <v>0</v>
      </c>
      <c r="AI28" s="81">
        <f t="shared" si="17"/>
        <v>225.37846542127457</v>
      </c>
      <c r="AJ28" s="81">
        <f t="shared" si="5"/>
        <v>0</v>
      </c>
      <c r="AK28" s="80">
        <f t="shared" si="6"/>
        <v>0.80446560782589616</v>
      </c>
      <c r="AL28" s="83">
        <f t="shared" si="7"/>
        <v>0.1955343921741039</v>
      </c>
      <c r="AM28" s="3"/>
      <c r="AN28" s="3"/>
    </row>
    <row r="29" spans="1:40">
      <c r="A29" s="119">
        <v>1983</v>
      </c>
      <c r="B29" s="129">
        <v>1.2704611962253079E-2</v>
      </c>
      <c r="C29" s="152"/>
      <c r="D29" s="147"/>
      <c r="J29" s="130">
        <f>IF(O29=0,"",((R29+V29)/cont1)^(1/O29)-1)</f>
        <v>0.13853791552580241</v>
      </c>
      <c r="K29" s="130">
        <f>IF(O29=0,"",((AE29+AI29)/cont1)^(1/O29)-1)</f>
        <v>0.15319866769088675</v>
      </c>
      <c r="N29" s="63">
        <f t="shared" si="18"/>
        <v>2004</v>
      </c>
      <c r="O29" s="63">
        <f t="shared" si="8"/>
        <v>18</v>
      </c>
      <c r="P29" s="65">
        <v>0.16138160483669003</v>
      </c>
      <c r="Q29" s="66">
        <f t="shared" si="9"/>
        <v>0</v>
      </c>
      <c r="R29" s="63">
        <f t="shared" si="10"/>
        <v>890.54275413433629</v>
      </c>
      <c r="S29" s="63">
        <f t="shared" si="0"/>
        <v>0</v>
      </c>
      <c r="T29" s="67">
        <v>5.2499999999999998E-2</v>
      </c>
      <c r="U29" s="66">
        <f t="shared" si="11"/>
        <v>0</v>
      </c>
      <c r="V29" s="66">
        <f t="shared" si="12"/>
        <v>142.82514120637555</v>
      </c>
      <c r="W29" s="66">
        <f t="shared" si="1"/>
        <v>0</v>
      </c>
      <c r="X29" s="65">
        <f t="shared" si="2"/>
        <v>0.86178674424631252</v>
      </c>
      <c r="Y29" s="68">
        <f t="shared" si="3"/>
        <v>0.13821325575368748</v>
      </c>
      <c r="Z29" s="3"/>
      <c r="AA29" s="78">
        <f t="shared" si="19"/>
        <v>2004</v>
      </c>
      <c r="AB29" s="78">
        <f t="shared" si="13"/>
        <v>18</v>
      </c>
      <c r="AC29" s="80">
        <v>0.16138160483669003</v>
      </c>
      <c r="AD29" s="81">
        <f t="shared" si="14"/>
        <v>0</v>
      </c>
      <c r="AE29" s="78">
        <f t="shared" si="15"/>
        <v>937.04887753694686</v>
      </c>
      <c r="AF29" s="78">
        <f t="shared" si="4"/>
        <v>0</v>
      </c>
      <c r="AG29" s="82">
        <v>5.2499999999999998E-2</v>
      </c>
      <c r="AH29" s="81">
        <f t="shared" si="16"/>
        <v>0</v>
      </c>
      <c r="AI29" s="81">
        <f t="shared" si="17"/>
        <v>363.94237180231534</v>
      </c>
      <c r="AJ29" s="81">
        <f t="shared" si="5"/>
        <v>0</v>
      </c>
      <c r="AK29" s="80">
        <f t="shared" si="6"/>
        <v>0.72025763279564592</v>
      </c>
      <c r="AL29" s="83">
        <f t="shared" si="7"/>
        <v>0.27974236720435414</v>
      </c>
      <c r="AM29" s="3"/>
      <c r="AN29" s="3"/>
    </row>
    <row r="30" spans="1:40">
      <c r="A30" s="119">
        <v>1984</v>
      </c>
      <c r="B30" s="129">
        <v>0.21754771594892322</v>
      </c>
      <c r="C30" s="152"/>
      <c r="D30" s="147"/>
      <c r="J30" s="130">
        <f>IF(O30=0,"",((R30+V30)/cont1)^(1/O30)-1)</f>
        <v>0.16075563704370999</v>
      </c>
      <c r="K30" s="130">
        <f>IF(O30=0,"",((AE30+AI30)/cont1)^(1/O30)-1)</f>
        <v>0.17065245198168433</v>
      </c>
      <c r="N30" s="63">
        <f t="shared" si="18"/>
        <v>2005</v>
      </c>
      <c r="O30" s="63">
        <f t="shared" si="8"/>
        <v>19</v>
      </c>
      <c r="P30" s="65">
        <v>0.737303667743754</v>
      </c>
      <c r="Q30" s="66">
        <f t="shared" si="9"/>
        <v>0</v>
      </c>
      <c r="R30" s="63">
        <f t="shared" si="10"/>
        <v>1547.1431930402066</v>
      </c>
      <c r="S30" s="63">
        <f t="shared" si="0"/>
        <v>0</v>
      </c>
      <c r="T30" s="67">
        <v>0.06</v>
      </c>
      <c r="U30" s="66">
        <f t="shared" si="11"/>
        <v>0</v>
      </c>
      <c r="V30" s="66">
        <f t="shared" si="12"/>
        <v>151.3946496787581</v>
      </c>
      <c r="W30" s="66">
        <f t="shared" si="1"/>
        <v>0</v>
      </c>
      <c r="X30" s="65">
        <f t="shared" si="2"/>
        <v>0.91086766166103761</v>
      </c>
      <c r="Y30" s="68">
        <f t="shared" si="3"/>
        <v>8.9132338338962419E-2</v>
      </c>
      <c r="Z30" s="3"/>
      <c r="AA30" s="78">
        <f t="shared" si="19"/>
        <v>2005</v>
      </c>
      <c r="AB30" s="78">
        <f t="shared" si="13"/>
        <v>19</v>
      </c>
      <c r="AC30" s="80">
        <v>0.737303667743754</v>
      </c>
      <c r="AD30" s="81">
        <f t="shared" si="14"/>
        <v>0</v>
      </c>
      <c r="AE30" s="78">
        <f t="shared" si="15"/>
        <v>1582.15180842574</v>
      </c>
      <c r="AF30" s="78">
        <f t="shared" si="4"/>
        <v>0</v>
      </c>
      <c r="AG30" s="82">
        <v>0.06</v>
      </c>
      <c r="AH30" s="81">
        <f t="shared" si="16"/>
        <v>0</v>
      </c>
      <c r="AI30" s="81">
        <f t="shared" si="17"/>
        <v>413.7152172898854</v>
      </c>
      <c r="AJ30" s="81">
        <f t="shared" si="5"/>
        <v>0</v>
      </c>
      <c r="AK30" s="80">
        <f t="shared" si="6"/>
        <v>0.79271403757895831</v>
      </c>
      <c r="AL30" s="83">
        <f t="shared" si="7"/>
        <v>0.20728596242104169</v>
      </c>
      <c r="AM30" s="3"/>
      <c r="AN30" s="3"/>
    </row>
    <row r="31" spans="1:40">
      <c r="A31" s="119">
        <v>1985</v>
      </c>
      <c r="B31" s="129">
        <v>0.17820521757974506</v>
      </c>
      <c r="C31" s="152"/>
      <c r="D31" s="147"/>
      <c r="J31" s="130">
        <f>IF(O31=0,"",((R31+V31)/cont1)^(1/O31)-1)</f>
        <v>0.16022980150979227</v>
      </c>
      <c r="K31" s="130">
        <f>IF(O31=0,"",((AE31+AI31)/cont1)^(1/O31)-1)</f>
        <v>0.16858355339458075</v>
      </c>
      <c r="N31" s="63">
        <f t="shared" si="18"/>
        <v>2006</v>
      </c>
      <c r="O31" s="63">
        <f t="shared" si="8"/>
        <v>20</v>
      </c>
      <c r="P31" s="65">
        <v>0.15887411347517733</v>
      </c>
      <c r="Q31" s="66">
        <f t="shared" si="9"/>
        <v>0</v>
      </c>
      <c r="R31" s="63">
        <f t="shared" si="10"/>
        <v>1792.9441962536243</v>
      </c>
      <c r="S31" s="63">
        <f t="shared" si="0"/>
        <v>0</v>
      </c>
      <c r="T31" s="67">
        <v>6.25E-2</v>
      </c>
      <c r="U31" s="66">
        <f t="shared" si="11"/>
        <v>0</v>
      </c>
      <c r="V31" s="66">
        <f t="shared" si="12"/>
        <v>160.85681528368048</v>
      </c>
      <c r="W31" s="66">
        <f t="shared" si="1"/>
        <v>0</v>
      </c>
      <c r="X31" s="65">
        <f t="shared" si="2"/>
        <v>0.91766980652901087</v>
      </c>
      <c r="Y31" s="68">
        <f t="shared" si="3"/>
        <v>8.2330193470989077E-2</v>
      </c>
      <c r="Z31" s="3"/>
      <c r="AA31" s="78">
        <f t="shared" si="19"/>
        <v>2006</v>
      </c>
      <c r="AB31" s="78">
        <f t="shared" si="13"/>
        <v>20</v>
      </c>
      <c r="AC31" s="80">
        <v>0.15887411347517733</v>
      </c>
      <c r="AD31" s="81">
        <f t="shared" si="14"/>
        <v>0</v>
      </c>
      <c r="AE31" s="78">
        <f t="shared" si="15"/>
        <v>1619.0710410283737</v>
      </c>
      <c r="AF31" s="78">
        <f t="shared" si="4"/>
        <v>0</v>
      </c>
      <c r="AG31" s="82">
        <v>6.25E-2</v>
      </c>
      <c r="AH31" s="81">
        <f t="shared" si="16"/>
        <v>0</v>
      </c>
      <c r="AI31" s="81">
        <f t="shared" si="17"/>
        <v>636.18261444685572</v>
      </c>
      <c r="AJ31" s="81">
        <f t="shared" si="5"/>
        <v>0</v>
      </c>
      <c r="AK31" s="80">
        <f t="shared" si="6"/>
        <v>0.71791083770007291</v>
      </c>
      <c r="AL31" s="83">
        <f t="shared" si="7"/>
        <v>0.28208916229992703</v>
      </c>
      <c r="AM31" s="3"/>
      <c r="AN31" s="3"/>
    </row>
    <row r="32" spans="1:40">
      <c r="A32" s="119">
        <v>1986</v>
      </c>
      <c r="B32" s="129">
        <v>0.26555723635058404</v>
      </c>
      <c r="C32" s="152"/>
      <c r="D32" s="147"/>
      <c r="J32" s="130">
        <f>IF(O32=0,"",((R32+V32)/cont1)^(1/O32)-1)</f>
        <v>0.16146002258995318</v>
      </c>
      <c r="K32" s="130">
        <f>IF(O32=0,"",((AE32+AI32)/cont1)^(1/O32)-1)</f>
        <v>0.16811313864399691</v>
      </c>
      <c r="N32" s="63">
        <f t="shared" si="18"/>
        <v>2007</v>
      </c>
      <c r="O32" s="63">
        <f t="shared" si="8"/>
        <v>21</v>
      </c>
      <c r="P32" s="65">
        <v>0.19677787042632777</v>
      </c>
      <c r="Q32" s="66">
        <f t="shared" si="9"/>
        <v>0</v>
      </c>
      <c r="R32" s="63">
        <f t="shared" si="10"/>
        <v>2145.7559369856567</v>
      </c>
      <c r="S32" s="63">
        <f t="shared" si="0"/>
        <v>0</v>
      </c>
      <c r="T32" s="69">
        <v>7.0000000000000007E-2</v>
      </c>
      <c r="U32" s="66">
        <f t="shared" si="11"/>
        <v>0</v>
      </c>
      <c r="V32" s="66">
        <f t="shared" si="12"/>
        <v>172.11679235353813</v>
      </c>
      <c r="W32" s="66">
        <f t="shared" si="1"/>
        <v>0</v>
      </c>
      <c r="X32" s="65">
        <f t="shared" si="2"/>
        <v>0.92574363977153862</v>
      </c>
      <c r="Y32" s="68">
        <f t="shared" si="3"/>
        <v>7.4256360228461341E-2</v>
      </c>
      <c r="Z32" s="3"/>
      <c r="AA32" s="78">
        <f t="shared" si="19"/>
        <v>2007</v>
      </c>
      <c r="AB32" s="78">
        <f t="shared" si="13"/>
        <v>21</v>
      </c>
      <c r="AC32" s="80">
        <v>0.19677787042632777</v>
      </c>
      <c r="AD32" s="81">
        <f t="shared" si="14"/>
        <v>0</v>
      </c>
      <c r="AE32" s="78">
        <f t="shared" si="15"/>
        <v>1889.3263669495857</v>
      </c>
      <c r="AF32" s="78">
        <f t="shared" si="4"/>
        <v>0</v>
      </c>
      <c r="AG32" s="84">
        <v>7.0000000000000007E-2</v>
      </c>
      <c r="AH32" s="81">
        <f t="shared" si="16"/>
        <v>0</v>
      </c>
      <c r="AI32" s="81">
        <f t="shared" si="17"/>
        <v>723.93642340754877</v>
      </c>
      <c r="AJ32" s="81">
        <f t="shared" si="5"/>
        <v>0</v>
      </c>
      <c r="AK32" s="80">
        <f t="shared" si="6"/>
        <v>0.72297603360869267</v>
      </c>
      <c r="AL32" s="83">
        <f t="shared" si="7"/>
        <v>0.27702396639130727</v>
      </c>
      <c r="AM32" s="3"/>
      <c r="AN32" s="3"/>
    </row>
    <row r="33" spans="1:40">
      <c r="A33" s="119">
        <v>1987</v>
      </c>
      <c r="B33" s="129">
        <v>0.27065567034576626</v>
      </c>
      <c r="C33" s="152"/>
      <c r="D33" s="147"/>
      <c r="J33" s="130">
        <f>IF(O33=0,"",((R33+V33)/cont1)^(1/O33)-1)</f>
        <v>0.13158577203831512</v>
      </c>
      <c r="K33" s="130">
        <f>IF(O33=0,"",((AE33+AI33)/cont1)^(1/O33)-1)</f>
        <v>0.14540291366528457</v>
      </c>
      <c r="N33" s="63">
        <f t="shared" si="18"/>
        <v>2008</v>
      </c>
      <c r="O33" s="63">
        <f t="shared" si="8"/>
        <v>22</v>
      </c>
      <c r="P33" s="65">
        <v>-0.37942650405256834</v>
      </c>
      <c r="Q33" s="66">
        <f t="shared" si="9"/>
        <v>0</v>
      </c>
      <c r="R33" s="63">
        <f t="shared" si="10"/>
        <v>1331.5992632651457</v>
      </c>
      <c r="S33" s="63">
        <f t="shared" si="0"/>
        <v>0</v>
      </c>
      <c r="T33" s="69">
        <v>0.08</v>
      </c>
      <c r="U33" s="66">
        <f t="shared" si="11"/>
        <v>0</v>
      </c>
      <c r="V33" s="66">
        <f t="shared" si="12"/>
        <v>185.88613574182119</v>
      </c>
      <c r="W33" s="66">
        <f t="shared" si="1"/>
        <v>0</v>
      </c>
      <c r="X33" s="65">
        <f t="shared" si="2"/>
        <v>0.87750383900664619</v>
      </c>
      <c r="Y33" s="68">
        <f t="shared" si="3"/>
        <v>0.12249616099335384</v>
      </c>
      <c r="Z33" s="3"/>
      <c r="AA33" s="78">
        <f t="shared" si="19"/>
        <v>2008</v>
      </c>
      <c r="AB33" s="78">
        <f t="shared" si="13"/>
        <v>22</v>
      </c>
      <c r="AC33" s="80">
        <v>-0.37942650405256834</v>
      </c>
      <c r="AD33" s="81">
        <f t="shared" si="14"/>
        <v>0</v>
      </c>
      <c r="AE33" s="78">
        <f t="shared" si="15"/>
        <v>1135.2051379488869</v>
      </c>
      <c r="AF33" s="78">
        <f t="shared" si="4"/>
        <v>0</v>
      </c>
      <c r="AG33" s="84">
        <v>0.08</v>
      </c>
      <c r="AH33" s="81">
        <f t="shared" si="16"/>
        <v>0</v>
      </c>
      <c r="AI33" s="81">
        <f t="shared" si="17"/>
        <v>846.69714407571178</v>
      </c>
      <c r="AJ33" s="81">
        <f t="shared" si="5"/>
        <v>0</v>
      </c>
      <c r="AK33" s="80">
        <f t="shared" si="6"/>
        <v>0.57278562532822042</v>
      </c>
      <c r="AL33" s="83">
        <f t="shared" si="7"/>
        <v>0.42721437467177953</v>
      </c>
      <c r="AM33" s="3"/>
      <c r="AN33" s="3"/>
    </row>
    <row r="34" spans="1:40">
      <c r="A34" s="119"/>
      <c r="B34" s="129"/>
      <c r="C34" s="152"/>
      <c r="D34" s="147"/>
      <c r="J34" s="130">
        <f>IF(O34=0,"",((R34+V34)/cont1)^(1/O34)-1)</f>
        <v>0.15230739158419504</v>
      </c>
      <c r="K34" s="130">
        <f>IF(O34=0,"",((AE34+AI34)/cont1)^(1/O34)-1)</f>
        <v>0.16187636175865494</v>
      </c>
      <c r="N34" s="63">
        <f t="shared" si="18"/>
        <v>2009</v>
      </c>
      <c r="O34" s="63">
        <f t="shared" si="8"/>
        <v>23</v>
      </c>
      <c r="P34" s="65">
        <v>0.80532523046814641</v>
      </c>
      <c r="Q34" s="66">
        <f t="shared" si="9"/>
        <v>0</v>
      </c>
      <c r="R34" s="63">
        <f t="shared" si="10"/>
        <v>2403.9697468453633</v>
      </c>
      <c r="S34" s="63">
        <f t="shared" si="0"/>
        <v>0</v>
      </c>
      <c r="T34" s="69">
        <v>0.09</v>
      </c>
      <c r="U34" s="66">
        <f t="shared" si="11"/>
        <v>0</v>
      </c>
      <c r="V34" s="66">
        <f t="shared" si="12"/>
        <v>202.61588795858512</v>
      </c>
      <c r="W34" s="66">
        <f t="shared" si="1"/>
        <v>0</v>
      </c>
      <c r="X34" s="65">
        <f t="shared" si="2"/>
        <v>0.92226770329230923</v>
      </c>
      <c r="Y34" s="68">
        <f t="shared" si="3"/>
        <v>7.7732296707690815E-2</v>
      </c>
      <c r="Z34" s="3"/>
      <c r="AA34" s="78">
        <f t="shared" si="19"/>
        <v>2009</v>
      </c>
      <c r="AB34" s="78">
        <f t="shared" si="13"/>
        <v>23</v>
      </c>
      <c r="AC34" s="80">
        <v>0.80532523046814641</v>
      </c>
      <c r="AD34" s="81">
        <f t="shared" si="14"/>
        <v>0</v>
      </c>
      <c r="AE34" s="78">
        <f t="shared" si="15"/>
        <v>2504.5847358429824</v>
      </c>
      <c r="AF34" s="78">
        <f t="shared" si="4"/>
        <v>0</v>
      </c>
      <c r="AG34" s="84">
        <v>0.09</v>
      </c>
      <c r="AH34" s="81">
        <f t="shared" si="16"/>
        <v>0</v>
      </c>
      <c r="AI34" s="81">
        <f t="shared" si="17"/>
        <v>648.08204622204391</v>
      </c>
      <c r="AJ34" s="81">
        <f t="shared" si="5"/>
        <v>0</v>
      </c>
      <c r="AK34" s="80">
        <f t="shared" si="6"/>
        <v>0.79443369977795619</v>
      </c>
      <c r="AL34" s="83">
        <f t="shared" si="7"/>
        <v>0.20556630022204378</v>
      </c>
      <c r="AM34" s="3"/>
      <c r="AN34" s="3"/>
    </row>
    <row r="35" spans="1:40">
      <c r="A35" s="119"/>
      <c r="B35" s="129"/>
      <c r="C35" s="152"/>
      <c r="D35" s="147"/>
      <c r="J35" s="130">
        <f>IF(O35=0,"",((R35+V35)/cont1)^(1/O35)-1)</f>
        <v>0.15045654767167149</v>
      </c>
      <c r="K35" s="130">
        <f>IF(O35=0,"",((AE35+AI35)/cont1)^(1/O35)-1)</f>
        <v>0.15951906480427613</v>
      </c>
      <c r="N35" s="63">
        <f t="shared" si="18"/>
        <v>2010</v>
      </c>
      <c r="O35" s="63">
        <f t="shared" si="8"/>
        <v>24</v>
      </c>
      <c r="P35" s="65">
        <v>0.10943116334797741</v>
      </c>
      <c r="Q35" s="66">
        <f t="shared" si="9"/>
        <v>0</v>
      </c>
      <c r="R35" s="63">
        <f t="shared" si="10"/>
        <v>2667.038952895994</v>
      </c>
      <c r="S35" s="63">
        <f t="shared" si="0"/>
        <v>0</v>
      </c>
      <c r="T35" s="69">
        <v>0.1</v>
      </c>
      <c r="U35" s="66">
        <f t="shared" si="11"/>
        <v>0</v>
      </c>
      <c r="V35" s="66">
        <f t="shared" si="12"/>
        <v>222.87747675444365</v>
      </c>
      <c r="W35" s="66">
        <f t="shared" si="1"/>
        <v>0</v>
      </c>
      <c r="X35" s="65">
        <f t="shared" si="2"/>
        <v>0.92287753567275199</v>
      </c>
      <c r="Y35" s="68">
        <f t="shared" si="3"/>
        <v>7.7122464327247953E-2</v>
      </c>
      <c r="Z35" s="3"/>
      <c r="AA35" s="78">
        <f t="shared" si="19"/>
        <v>2010</v>
      </c>
      <c r="AB35" s="78">
        <f t="shared" si="13"/>
        <v>24</v>
      </c>
      <c r="AC35" s="80">
        <v>0.10943116334797741</v>
      </c>
      <c r="AD35" s="81">
        <f t="shared" si="14"/>
        <v>0</v>
      </c>
      <c r="AE35" s="78">
        <f t="shared" si="15"/>
        <v>2448.3667429724483</v>
      </c>
      <c r="AF35" s="78">
        <f t="shared" si="4"/>
        <v>0</v>
      </c>
      <c r="AG35" s="84">
        <v>0.1</v>
      </c>
      <c r="AH35" s="81">
        <f t="shared" si="16"/>
        <v>0</v>
      </c>
      <c r="AI35" s="81">
        <f t="shared" si="17"/>
        <v>1040.3800380814589</v>
      </c>
      <c r="AJ35" s="81">
        <f t="shared" si="5"/>
        <v>0</v>
      </c>
      <c r="AK35" s="80">
        <f t="shared" si="6"/>
        <v>0.70178975334885918</v>
      </c>
      <c r="AL35" s="83">
        <f t="shared" si="7"/>
        <v>0.29821024665114071</v>
      </c>
      <c r="AM35" s="3"/>
      <c r="AN35" s="3"/>
    </row>
    <row r="36" spans="1:40">
      <c r="A36" s="119"/>
      <c r="B36" s="129"/>
      <c r="C36" s="152"/>
      <c r="D36" s="147"/>
      <c r="J36" s="130">
        <f>IF(O36=0,"",((R36+V36)/cont1)^(1/O36)-1)</f>
        <v>0.13979845730760765</v>
      </c>
      <c r="K36" s="130">
        <f>IF(O36=0,"",((AE36+AI36)/cont1)^(1/O36)-1)</f>
        <v>0.15077171825283542</v>
      </c>
      <c r="N36" s="63">
        <f t="shared" si="18"/>
        <v>2011</v>
      </c>
      <c r="O36" s="63">
        <f t="shared" si="8"/>
        <v>25</v>
      </c>
      <c r="P36" s="65">
        <v>-0.10495242993057337</v>
      </c>
      <c r="Q36" s="66">
        <f t="shared" si="9"/>
        <v>0</v>
      </c>
      <c r="R36" s="63">
        <f t="shared" si="10"/>
        <v>2387.1267340700674</v>
      </c>
      <c r="S36" s="63">
        <f t="shared" si="0"/>
        <v>2387.1267340700674</v>
      </c>
      <c r="T36" s="69">
        <v>0.11</v>
      </c>
      <c r="U36" s="66">
        <f t="shared" si="11"/>
        <v>0</v>
      </c>
      <c r="V36" s="66">
        <f t="shared" si="12"/>
        <v>247.39399919743246</v>
      </c>
      <c r="W36" s="66">
        <f t="shared" si="1"/>
        <v>247.39399919743246</v>
      </c>
      <c r="X36" s="65">
        <f t="shared" si="2"/>
        <v>0.9060952544144153</v>
      </c>
      <c r="Y36" s="68">
        <f t="shared" si="3"/>
        <v>9.3904745585584634E-2</v>
      </c>
      <c r="Z36" s="3"/>
      <c r="AA36" s="78">
        <f t="shared" si="19"/>
        <v>2011</v>
      </c>
      <c r="AB36" s="78">
        <f t="shared" si="13"/>
        <v>25</v>
      </c>
      <c r="AC36" s="80">
        <v>-0.10495242993057337</v>
      </c>
      <c r="AD36" s="81">
        <f t="shared" si="14"/>
        <v>0</v>
      </c>
      <c r="AE36" s="78">
        <f t="shared" si="15"/>
        <v>2185.8160302788833</v>
      </c>
      <c r="AF36" s="78">
        <f t="shared" si="4"/>
        <v>2185.8160302788833</v>
      </c>
      <c r="AG36" s="84">
        <v>0.11</v>
      </c>
      <c r="AH36" s="81">
        <f t="shared" si="16"/>
        <v>0</v>
      </c>
      <c r="AI36" s="81">
        <f t="shared" si="17"/>
        <v>1161.7526780909513</v>
      </c>
      <c r="AJ36" s="81">
        <f t="shared" si="5"/>
        <v>1161.7526780909513</v>
      </c>
      <c r="AK36" s="80">
        <f t="shared" si="6"/>
        <v>0.65295628580042198</v>
      </c>
      <c r="AL36" s="83">
        <f t="shared" si="7"/>
        <v>0.34704371419957797</v>
      </c>
      <c r="AM36" s="3"/>
      <c r="AN36" s="3"/>
    </row>
    <row r="37" spans="1:40">
      <c r="A37" s="119"/>
      <c r="B37" s="129"/>
      <c r="C37" s="152"/>
      <c r="D37" s="147"/>
      <c r="N37" t="s">
        <v>16</v>
      </c>
      <c r="Q37" s="3"/>
      <c r="U37" s="3"/>
      <c r="V37" s="3"/>
      <c r="W37" s="3"/>
      <c r="X37" s="3"/>
      <c r="Y37" s="3"/>
      <c r="Z37" s="3"/>
      <c r="AA37" s="25"/>
      <c r="AB37" s="25"/>
      <c r="AC37" s="26"/>
      <c r="AD37" s="25"/>
      <c r="AE37" s="27"/>
      <c r="AF37" s="25"/>
      <c r="AG37" s="26"/>
      <c r="AH37" s="25"/>
      <c r="AI37" s="25"/>
      <c r="AJ37" s="25"/>
      <c r="AK37" s="28"/>
      <c r="AL37" s="28"/>
      <c r="AM37" s="3"/>
      <c r="AN37" s="3"/>
    </row>
    <row r="38" spans="1:40">
      <c r="A38" s="119"/>
      <c r="B38" s="129"/>
      <c r="C38" s="152"/>
      <c r="D38" s="147"/>
      <c r="N38" t="s">
        <v>17</v>
      </c>
      <c r="P38" s="1"/>
      <c r="Q38" s="1"/>
    </row>
    <row r="39" spans="1:40">
      <c r="A39" s="119"/>
      <c r="B39" s="129"/>
      <c r="C39" s="152"/>
      <c r="D39" s="147"/>
      <c r="P39" s="1"/>
      <c r="Q39" s="1"/>
    </row>
    <row r="40" spans="1:40">
      <c r="A40" s="119"/>
      <c r="B40" s="129"/>
      <c r="C40" s="152"/>
      <c r="D40" s="147"/>
      <c r="P40" s="1"/>
      <c r="Q40" s="1"/>
    </row>
    <row r="41" spans="1:40">
      <c r="A41" s="119"/>
      <c r="B41" s="129"/>
      <c r="C41" s="152"/>
      <c r="D41" s="147"/>
      <c r="P41" s="1"/>
      <c r="Q41" s="1"/>
    </row>
    <row r="42" spans="1:40">
      <c r="A42" s="119"/>
      <c r="B42" s="129"/>
      <c r="C42" s="152"/>
      <c r="D42" s="147"/>
      <c r="F42" s="27"/>
      <c r="G42" s="27"/>
      <c r="H42" s="27"/>
      <c r="I42" s="27"/>
      <c r="J42" s="27"/>
      <c r="K42" s="27"/>
      <c r="L42" s="27"/>
      <c r="M42" s="27"/>
      <c r="N42" s="27"/>
      <c r="P42" s="1"/>
      <c r="Q42" s="1"/>
    </row>
    <row r="43" spans="1:40">
      <c r="A43" s="119"/>
      <c r="B43" s="129"/>
      <c r="C43" s="152"/>
      <c r="D43" s="147"/>
      <c r="F43" s="27"/>
      <c r="G43" s="27"/>
      <c r="H43" s="27"/>
      <c r="I43" s="27"/>
      <c r="J43" s="27"/>
      <c r="K43" s="27"/>
      <c r="L43" s="27"/>
      <c r="M43" s="27"/>
      <c r="N43" s="27"/>
      <c r="P43" s="1"/>
      <c r="Q43" s="1"/>
    </row>
    <row r="44" spans="1:40">
      <c r="A44" s="118"/>
      <c r="B44" s="130"/>
      <c r="C44" s="152"/>
      <c r="D44" s="147"/>
      <c r="E44" s="1"/>
      <c r="F44" s="27"/>
      <c r="G44" s="27"/>
      <c r="H44" s="27"/>
      <c r="I44" s="27"/>
      <c r="J44" s="27"/>
      <c r="K44" s="27"/>
      <c r="L44" s="27"/>
      <c r="M44" s="27"/>
      <c r="N44" s="27"/>
      <c r="P44" s="1"/>
      <c r="Q44" s="1"/>
    </row>
    <row r="45" spans="1:40">
      <c r="A45" s="118"/>
      <c r="B45" s="130"/>
      <c r="C45" s="153"/>
      <c r="D45" s="121"/>
      <c r="E45" s="26"/>
      <c r="F45" s="27"/>
      <c r="G45" s="27"/>
      <c r="H45" s="27"/>
      <c r="I45" s="27"/>
      <c r="J45" s="27"/>
      <c r="K45" s="27"/>
      <c r="L45" s="27"/>
      <c r="M45" s="27"/>
      <c r="N45" s="27"/>
      <c r="P45" s="1"/>
      <c r="Q45" s="1"/>
    </row>
    <row r="46" spans="1:40">
      <c r="A46" s="118"/>
      <c r="B46" s="130"/>
      <c r="C46" s="153"/>
      <c r="D46" s="121"/>
      <c r="E46" s="27"/>
      <c r="F46" s="27"/>
      <c r="G46" s="27"/>
      <c r="H46" s="27"/>
      <c r="I46" s="27"/>
      <c r="J46" s="27"/>
      <c r="K46" s="27"/>
      <c r="L46" s="27"/>
      <c r="M46" s="27"/>
      <c r="N46" s="27"/>
      <c r="P46" s="1"/>
      <c r="Q46" s="1"/>
    </row>
    <row r="47" spans="1:40">
      <c r="A47" s="118"/>
      <c r="B47" s="130"/>
      <c r="C47" s="153"/>
      <c r="D47" s="121"/>
      <c r="E47" s="27"/>
      <c r="F47" s="27"/>
      <c r="G47" s="27"/>
      <c r="H47" s="27"/>
      <c r="I47" s="27"/>
      <c r="J47" s="27"/>
      <c r="K47" s="27"/>
      <c r="L47" s="27"/>
      <c r="M47" s="27"/>
      <c r="N47" s="27"/>
      <c r="P47" s="1"/>
      <c r="Q47" s="1"/>
    </row>
    <row r="48" spans="1:40">
      <c r="A48" s="118"/>
      <c r="B48" s="130"/>
      <c r="C48" s="153"/>
      <c r="D48" s="121"/>
      <c r="E48" s="27"/>
      <c r="F48" s="27"/>
      <c r="G48" s="27"/>
      <c r="H48" s="27"/>
      <c r="I48" s="27"/>
      <c r="J48" s="27"/>
      <c r="K48" s="27"/>
      <c r="L48" s="27"/>
      <c r="M48" s="27"/>
      <c r="N48" s="27"/>
      <c r="P48" s="1"/>
      <c r="Q48" s="1"/>
    </row>
    <row r="49" spans="1:17">
      <c r="A49" s="168"/>
      <c r="B49" s="165"/>
      <c r="C49" s="27"/>
      <c r="D49" s="27"/>
      <c r="E49" s="41"/>
      <c r="F49" s="27"/>
      <c r="G49" s="27"/>
      <c r="H49" s="27"/>
      <c r="I49" s="27"/>
      <c r="J49" s="27"/>
      <c r="K49" s="27"/>
      <c r="L49" s="27"/>
      <c r="M49" s="27"/>
      <c r="N49" s="27"/>
      <c r="P49" s="1"/>
      <c r="Q49" s="1"/>
    </row>
    <row r="50" spans="1:17">
      <c r="A50" s="167"/>
      <c r="B50" s="165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P50" s="1"/>
      <c r="Q50" s="1"/>
    </row>
    <row r="51" spans="1:17">
      <c r="A51" s="118"/>
      <c r="B51" s="165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P51" s="1"/>
      <c r="Q51" s="1"/>
    </row>
    <row r="52" spans="1:17">
      <c r="A52" s="118"/>
      <c r="B52" s="165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P52" s="1"/>
      <c r="Q52" s="1"/>
    </row>
    <row r="53" spans="1:17">
      <c r="A53" s="118"/>
      <c r="B53" s="165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P53" s="1"/>
      <c r="Q53" s="1"/>
    </row>
    <row r="54" spans="1:17">
      <c r="A54" s="118"/>
      <c r="B54" s="16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P54" s="1"/>
      <c r="Q54" s="1"/>
    </row>
    <row r="55" spans="1:17">
      <c r="A55" s="118"/>
      <c r="B55" s="16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7">
      <c r="A56" s="118"/>
      <c r="B56" s="16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7">
      <c r="A57" s="118"/>
      <c r="B57" s="165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7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</sheetData>
  <mergeCells count="11">
    <mergeCell ref="A20:C20"/>
    <mergeCell ref="A21:C21"/>
    <mergeCell ref="A18:C18"/>
    <mergeCell ref="X2:Y2"/>
    <mergeCell ref="X3:Y3"/>
    <mergeCell ref="J2:K2"/>
    <mergeCell ref="N1:Y1"/>
    <mergeCell ref="AA1:AL1"/>
    <mergeCell ref="AK2:AL2"/>
    <mergeCell ref="AK3:AL3"/>
    <mergeCell ref="A19:C19"/>
  </mergeCells>
  <conditionalFormatting sqref="AA1:AL36">
    <cfRule type="cellIs" dxfId="1" priority="2" operator="equal">
      <formula>0</formula>
    </cfRule>
  </conditionalFormatting>
  <conditionalFormatting sqref="N2:Y36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57"/>
  <sheetViews>
    <sheetView topLeftCell="A4" workbookViewId="0">
      <selection activeCell="D7" sqref="D7"/>
    </sheetView>
  </sheetViews>
  <sheetFormatPr defaultRowHeight="14.4"/>
  <cols>
    <col min="1" max="1" width="16" customWidth="1"/>
    <col min="2" max="2" width="16.88671875" bestFit="1" customWidth="1"/>
    <col min="3" max="3" width="11" bestFit="1" customWidth="1"/>
    <col min="4" max="4" width="12.109375" bestFit="1" customWidth="1"/>
    <col min="5" max="5" width="7.88671875" bestFit="1" customWidth="1"/>
    <col min="6" max="6" width="6.33203125" bestFit="1" customWidth="1"/>
    <col min="7" max="7" width="7.33203125" customWidth="1"/>
    <col min="8" max="8" width="7.88671875" customWidth="1"/>
    <col min="9" max="9" width="4.6640625" bestFit="1" customWidth="1"/>
    <col min="10" max="10" width="6.77734375" bestFit="1" customWidth="1"/>
    <col min="11" max="11" width="10.44140625" bestFit="1" customWidth="1"/>
    <col min="12" max="12" width="12" bestFit="1" customWidth="1"/>
    <col min="13" max="13" width="15.6640625" bestFit="1" customWidth="1"/>
    <col min="14" max="14" width="8.88671875" customWidth="1"/>
    <col min="16" max="16" width="10.44140625" bestFit="1" customWidth="1"/>
    <col min="17" max="17" width="11.33203125" bestFit="1" customWidth="1"/>
    <col min="18" max="18" width="10.109375" bestFit="1" customWidth="1"/>
    <col min="19" max="19" width="0" hidden="1" customWidth="1"/>
    <col min="28" max="28" width="10.109375" bestFit="1" customWidth="1"/>
    <col min="29" max="30" width="12" bestFit="1" customWidth="1"/>
    <col min="31" max="31" width="0" hidden="1" customWidth="1"/>
    <col min="33" max="33" width="10.44140625" bestFit="1" customWidth="1"/>
    <col min="34" max="34" width="12" bestFit="1" customWidth="1"/>
    <col min="35" max="35" width="10.109375" bestFit="1" customWidth="1"/>
    <col min="36" max="36" width="0" hidden="1" customWidth="1"/>
  </cols>
  <sheetData>
    <row r="1" spans="1:41" ht="15" thickBot="1">
      <c r="A1" s="2" t="s">
        <v>15</v>
      </c>
      <c r="H1" s="207" t="s">
        <v>32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9"/>
      <c r="U1" s="209"/>
      <c r="V1" s="70"/>
      <c r="W1" s="70"/>
      <c r="Y1" s="207" t="s">
        <v>33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</row>
    <row r="2" spans="1:41">
      <c r="A2" s="4" t="s">
        <v>18</v>
      </c>
      <c r="B2" s="5"/>
      <c r="C2" s="5"/>
      <c r="D2" s="101">
        <v>15</v>
      </c>
      <c r="E2" s="5"/>
      <c r="F2" s="6"/>
      <c r="H2" s="62" t="s">
        <v>14</v>
      </c>
      <c r="I2" s="62" t="s">
        <v>0</v>
      </c>
      <c r="J2" s="62" t="s">
        <v>8</v>
      </c>
      <c r="K2" s="62" t="s">
        <v>2</v>
      </c>
      <c r="L2" s="62" t="s">
        <v>96</v>
      </c>
      <c r="M2" s="62" t="s">
        <v>37</v>
      </c>
      <c r="N2" s="63"/>
      <c r="O2" s="62" t="s">
        <v>21</v>
      </c>
      <c r="P2" s="71" t="s">
        <v>2</v>
      </c>
      <c r="Q2" s="62" t="s">
        <v>96</v>
      </c>
      <c r="R2" s="62" t="s">
        <v>100</v>
      </c>
      <c r="S2" s="62"/>
      <c r="T2" s="206" t="s">
        <v>101</v>
      </c>
      <c r="U2" s="206"/>
      <c r="V2" s="206"/>
      <c r="W2" s="206"/>
      <c r="Y2" s="76" t="s">
        <v>14</v>
      </c>
      <c r="Z2" s="76" t="s">
        <v>0</v>
      </c>
      <c r="AA2" s="76" t="s">
        <v>8</v>
      </c>
      <c r="AB2" s="76" t="s">
        <v>2</v>
      </c>
      <c r="AC2" s="76" t="s">
        <v>96</v>
      </c>
      <c r="AD2" s="76" t="s">
        <v>37</v>
      </c>
      <c r="AE2" s="78"/>
      <c r="AF2" s="76" t="s">
        <v>21</v>
      </c>
      <c r="AG2" s="76" t="s">
        <v>2</v>
      </c>
      <c r="AH2" s="76" t="s">
        <v>96</v>
      </c>
      <c r="AI2" s="76" t="s">
        <v>100</v>
      </c>
      <c r="AJ2" s="76"/>
      <c r="AK2" s="200" t="s">
        <v>101</v>
      </c>
      <c r="AL2" s="200"/>
      <c r="AM2" s="200"/>
      <c r="AN2" s="200"/>
    </row>
    <row r="3" spans="1:41">
      <c r="A3" s="7" t="s">
        <v>10</v>
      </c>
      <c r="B3" s="8"/>
      <c r="C3" s="8"/>
      <c r="D3" s="102">
        <v>1980</v>
      </c>
      <c r="E3" s="8" t="s">
        <v>11</v>
      </c>
      <c r="F3" s="102">
        <f>2011-time1+1</f>
        <v>1997</v>
      </c>
      <c r="H3" s="73" t="s">
        <v>13</v>
      </c>
      <c r="I3" s="63"/>
      <c r="J3" s="73" t="s">
        <v>13</v>
      </c>
      <c r="K3" s="62" t="s">
        <v>3</v>
      </c>
      <c r="L3" s="62" t="s">
        <v>97</v>
      </c>
      <c r="M3" s="62" t="s">
        <v>99</v>
      </c>
      <c r="N3" s="63"/>
      <c r="O3" s="73" t="s">
        <v>13</v>
      </c>
      <c r="P3" s="71" t="s">
        <v>3</v>
      </c>
      <c r="Q3" s="62" t="s">
        <v>97</v>
      </c>
      <c r="R3" s="72" t="s">
        <v>99</v>
      </c>
      <c r="S3" s="63"/>
      <c r="T3" s="62" t="s">
        <v>23</v>
      </c>
      <c r="U3" s="62" t="s">
        <v>24</v>
      </c>
      <c r="V3" s="62" t="s">
        <v>23</v>
      </c>
      <c r="W3" s="62" t="s">
        <v>24</v>
      </c>
      <c r="X3" s="2"/>
      <c r="Y3" s="78"/>
      <c r="Z3" s="78"/>
      <c r="AA3" s="76" t="s">
        <v>9</v>
      </c>
      <c r="AB3" s="76" t="s">
        <v>36</v>
      </c>
      <c r="AC3" s="76" t="s">
        <v>97</v>
      </c>
      <c r="AD3" s="76" t="s">
        <v>99</v>
      </c>
      <c r="AE3" s="78"/>
      <c r="AF3" s="76" t="s">
        <v>13</v>
      </c>
      <c r="AG3" s="76" t="s">
        <v>3</v>
      </c>
      <c r="AH3" s="76" t="s">
        <v>97</v>
      </c>
      <c r="AI3" s="76" t="s">
        <v>99</v>
      </c>
      <c r="AJ3" s="78"/>
      <c r="AK3" s="76" t="s">
        <v>23</v>
      </c>
      <c r="AL3" s="76" t="s">
        <v>24</v>
      </c>
      <c r="AM3" s="76" t="s">
        <v>23</v>
      </c>
      <c r="AN3" s="76" t="s">
        <v>24</v>
      </c>
      <c r="AO3" s="2"/>
    </row>
    <row r="4" spans="1:41">
      <c r="A4" s="7" t="s">
        <v>12</v>
      </c>
      <c r="B4" s="8"/>
      <c r="C4" s="98">
        <v>1980</v>
      </c>
      <c r="D4" s="8"/>
      <c r="E4" s="8"/>
      <c r="F4" s="9"/>
      <c r="H4" s="64"/>
      <c r="I4" s="63"/>
      <c r="J4" s="62"/>
      <c r="K4" s="73"/>
      <c r="L4" s="62" t="s">
        <v>98</v>
      </c>
      <c r="M4" s="63"/>
      <c r="N4" s="63"/>
      <c r="O4" s="62"/>
      <c r="P4" s="62"/>
      <c r="Q4" s="62" t="s">
        <v>98</v>
      </c>
      <c r="R4" s="62"/>
      <c r="S4" s="62"/>
      <c r="T4" s="210" t="s">
        <v>102</v>
      </c>
      <c r="U4" s="211"/>
      <c r="V4" s="210" t="s">
        <v>103</v>
      </c>
      <c r="W4" s="211"/>
      <c r="X4" s="2"/>
      <c r="Y4" s="79" t="s">
        <v>13</v>
      </c>
      <c r="Z4" s="78"/>
      <c r="AA4" s="76"/>
      <c r="AB4" s="76"/>
      <c r="AC4" s="76" t="s">
        <v>98</v>
      </c>
      <c r="AD4" s="78"/>
      <c r="AE4" s="78"/>
      <c r="AF4" s="76"/>
      <c r="AG4" s="76"/>
      <c r="AH4" s="76" t="s">
        <v>98</v>
      </c>
      <c r="AI4" s="76"/>
      <c r="AJ4" s="76"/>
      <c r="AK4" s="200" t="s">
        <v>102</v>
      </c>
      <c r="AL4" s="200"/>
      <c r="AM4" s="200" t="s">
        <v>103</v>
      </c>
      <c r="AN4" s="200"/>
      <c r="AO4" s="2"/>
    </row>
    <row r="5" spans="1:41">
      <c r="A5" s="7"/>
      <c r="B5" s="8"/>
      <c r="C5" s="8"/>
      <c r="D5" s="8"/>
      <c r="E5" s="8"/>
      <c r="F5" s="9"/>
      <c r="H5" s="63">
        <v>1980</v>
      </c>
      <c r="I5" s="63">
        <f t="shared" ref="I5:I36" si="0">IF(H4=start-1+time1,0,IF(I4&lt;&gt;0,I4+1,IF(H5=start,1,0)))</f>
        <v>1</v>
      </c>
      <c r="J5" s="65">
        <v>0.34899276658629547</v>
      </c>
      <c r="K5" s="66">
        <f t="shared" ref="K5:K36" si="1">IF(I5=0,0,IF(O4=start-1+time1,0,IF(K4&lt;&gt;0,K4*(1+inca),IF(H5=start,12*cont1*eqper,0))))</f>
        <v>84000</v>
      </c>
      <c r="L5" s="228">
        <f>IF(I5=1,0,IF(I5=0,0,M4))</f>
        <v>0</v>
      </c>
      <c r="M5" s="228">
        <f>IF(I5=0,0,IF(I5=1,K5*(1+J5),(L5+K5)*(1+J5)))</f>
        <v>113315.39239324883</v>
      </c>
      <c r="N5" s="227">
        <f t="shared" ref="N5:N36" si="2">IF(I5=time1,M5,0)</f>
        <v>0</v>
      </c>
      <c r="O5" s="67">
        <v>7.4999999999999997E-2</v>
      </c>
      <c r="P5" s="66">
        <f t="shared" ref="P5:P36" si="3">IF(I5=0,0,IF(O4=start-1+time1,0,IF(P4&lt;&gt;0,P4*(1+inca),IF(H5=start,12*cont1*bondper,0))))</f>
        <v>36000.000000000007</v>
      </c>
      <c r="Q5" s="227">
        <f>IF(I5=1,0,IF(I5=0,0,R4))</f>
        <v>0</v>
      </c>
      <c r="R5" s="66">
        <f>IF(I5=0,0,IF(I5=1,P5*(1+O5),(Q5+P5)*(1+O5)))</f>
        <v>38700.000000000007</v>
      </c>
      <c r="S5" s="66">
        <f t="shared" ref="S5:S36" si="4">IF(I5=time1,R5,0)</f>
        <v>0</v>
      </c>
      <c r="T5" s="65">
        <f>IF(I5=0,0,(K5+L5)/(K5+L5+P5+Q5))</f>
        <v>0.7</v>
      </c>
      <c r="U5" s="65">
        <f>IF(I5=0,0,(P5+Q5)/(K5+L5+P5+Q5))</f>
        <v>0.30000000000000004</v>
      </c>
      <c r="V5" s="65">
        <f t="shared" ref="V5:V36" si="5">IF(I5=0,0,M5/(M5+R5))</f>
        <v>0.7454205170231254</v>
      </c>
      <c r="W5" s="68">
        <f t="shared" ref="W5:W36" si="6">IF(I5=0,0,R5/(M5+R5))</f>
        <v>0.25457948297687466</v>
      </c>
      <c r="X5" s="3"/>
      <c r="Y5" s="78">
        <v>1980</v>
      </c>
      <c r="Z5" s="78">
        <f>IF(AF4=start-1+time1,0,IF(Z4&lt;&gt;0,Z4+1,IF(Y5=start,1,0)))</f>
        <v>1</v>
      </c>
      <c r="AA5" s="80">
        <v>0.34899276658629547</v>
      </c>
      <c r="AB5" s="81">
        <f t="shared" ref="AB5:AB36" si="7">IF(Z5=0,0,IF(AF4=start-1+time1,0,IF(AB4&lt;&gt;0,AB4*(1+inca),IF(Y5=start,12*cont1*eqper,0))))</f>
        <v>84000</v>
      </c>
      <c r="AC5" s="78">
        <f t="shared" ref="AC5:AC36" si="8">IF(Z5=1,0,IF(Z5=0,0,eqper*(AD4+AI4)))</f>
        <v>0</v>
      </c>
      <c r="AD5" s="78">
        <f>IF(Z5=0,0,(AB5+AC5)*(1+AA5))</f>
        <v>113315.39239324883</v>
      </c>
      <c r="AE5" s="78">
        <f t="shared" ref="AE5:AE8" si="9">IF(Z5=time1,AD5,0)</f>
        <v>0</v>
      </c>
      <c r="AF5" s="82">
        <v>7.4999999999999997E-2</v>
      </c>
      <c r="AG5" s="81">
        <f t="shared" ref="AG5:AG36" si="10">IF(Z5=0,0,IF(AF4=start-1+time1,0,IF(AG4&lt;&gt;0,AG4*(1+inca),IF(Y5=start,12*cont1*bondper,0))))</f>
        <v>36000.000000000007</v>
      </c>
      <c r="AH5" s="78">
        <f t="shared" ref="AH5:AH36" si="11">IF(Z5=1,0,IF(Z5=0,0,bondper*(AD4+AI4)))</f>
        <v>0</v>
      </c>
      <c r="AI5" s="81">
        <f>IF(Z5=0,0,(AG5+AH5)*(1+AF5))</f>
        <v>38700.000000000007</v>
      </c>
      <c r="AJ5" s="81">
        <f t="shared" ref="AJ5:AJ36" si="12">IF(Z5=time1,AI5,0)</f>
        <v>0</v>
      </c>
      <c r="AK5" s="80">
        <f>IF(Z5=0,0,(AB5+AC5)/(AB5+AC5+AG5+AH5))</f>
        <v>0.7</v>
      </c>
      <c r="AL5" s="80">
        <f>IF(Z5=0,0,(AG5+AH5)/(AB5+AC5+AG5+AH5))</f>
        <v>0.30000000000000004</v>
      </c>
      <c r="AM5" s="80">
        <f>IF(Z5=0,0,AD5/(AD5+AI5))</f>
        <v>0.7454205170231254</v>
      </c>
      <c r="AN5" s="83">
        <f>IF(Z5=0,0,AI5/(AD5+AI5))</f>
        <v>0.25457948297687466</v>
      </c>
      <c r="AO5" s="3"/>
    </row>
    <row r="6" spans="1:41">
      <c r="A6" s="7" t="s">
        <v>7</v>
      </c>
      <c r="B6" s="8"/>
      <c r="C6" s="8"/>
      <c r="D6">
        <v>10000</v>
      </c>
      <c r="E6" s="8"/>
      <c r="F6" s="9"/>
      <c r="H6" s="63">
        <f>H5+1</f>
        <v>1981</v>
      </c>
      <c r="I6" s="63">
        <f t="shared" si="0"/>
        <v>2</v>
      </c>
      <c r="J6" s="65">
        <v>0.25524677121771222</v>
      </c>
      <c r="K6" s="66">
        <f t="shared" si="1"/>
        <v>84000</v>
      </c>
      <c r="L6" s="228">
        <f t="shared" ref="L6:L36" si="13">IF(I6=1,0,IF(I6=0,0,M5))</f>
        <v>113315.39239324883</v>
      </c>
      <c r="M6" s="228">
        <f t="shared" ref="M6:M36" si="14">IF(I6=0,0,IF(I6=1,K6*(1+J6),(L6+K6)*(1+J6)))</f>
        <v>247679.50921318153</v>
      </c>
      <c r="N6" s="227">
        <f t="shared" si="2"/>
        <v>0</v>
      </c>
      <c r="O6" s="67">
        <v>0.08</v>
      </c>
      <c r="P6" s="66">
        <f t="shared" si="3"/>
        <v>36000.000000000007</v>
      </c>
      <c r="Q6" s="227">
        <f t="shared" ref="Q6:Q36" si="15">IF(I6=1,0,IF(I6=0,0,R5))</f>
        <v>38700.000000000007</v>
      </c>
      <c r="R6" s="66">
        <f t="shared" ref="R6:R36" si="16">IF(I6=0,0,IF(I6=1,P6*(1+O6),(Q6+P6)*(1+O6)))</f>
        <v>80676.000000000015</v>
      </c>
      <c r="S6" s="66">
        <f t="shared" si="4"/>
        <v>0</v>
      </c>
      <c r="T6" s="65">
        <f t="shared" ref="T6:T36" si="17">IF(I6=0,0,(K6+L6)/(K6+L6+P6+Q6))</f>
        <v>0.72538318753665498</v>
      </c>
      <c r="U6" s="65">
        <f t="shared" ref="U6:U36" si="18">IF(I6=0,0,(P6+Q6)/(K6+L6+P6+Q6))</f>
        <v>0.27461681246334496</v>
      </c>
      <c r="V6" s="65">
        <f t="shared" si="5"/>
        <v>0.75430288898359266</v>
      </c>
      <c r="W6" s="68">
        <f t="shared" si="6"/>
        <v>0.24569711101640729</v>
      </c>
      <c r="X6" s="3"/>
      <c r="Y6" s="78">
        <f>Y5+1</f>
        <v>1981</v>
      </c>
      <c r="Z6" s="78">
        <f t="shared" ref="Z6:Z36" si="19">IF(Y5=start-1+time1,0,IF(Z5&lt;&gt;0,Z5+1,IF(Y6=start,1,0)))</f>
        <v>2</v>
      </c>
      <c r="AA6" s="80">
        <v>0.25524677121771222</v>
      </c>
      <c r="AB6" s="81">
        <f t="shared" si="7"/>
        <v>84000</v>
      </c>
      <c r="AC6" s="78">
        <f t="shared" si="8"/>
        <v>106410.77467527417</v>
      </c>
      <c r="AD6" s="78">
        <f t="shared" ref="AD6:AD36" si="20">IF(Z6=0,0,(AB6+AC6)*(1+AA6))</f>
        <v>239012.51011620121</v>
      </c>
      <c r="AE6" s="78">
        <f t="shared" si="9"/>
        <v>0</v>
      </c>
      <c r="AF6" s="82">
        <v>0.08</v>
      </c>
      <c r="AG6" s="81">
        <f t="shared" si="10"/>
        <v>36000.000000000007</v>
      </c>
      <c r="AH6" s="78">
        <f t="shared" si="11"/>
        <v>45604.617717974652</v>
      </c>
      <c r="AI6" s="81">
        <f t="shared" ref="AI6:AI36" si="21">IF(Z6=0,0,(AG6+AH6)*(1+AF6))</f>
        <v>88132.987135412637</v>
      </c>
      <c r="AJ6" s="81">
        <f t="shared" si="12"/>
        <v>0</v>
      </c>
      <c r="AK6" s="80">
        <f t="shared" ref="AK6:AK36" si="22">IF(Z6=0,0,(AB6+AC6)/(AB6+AC6+AG6+AH6))</f>
        <v>0.7</v>
      </c>
      <c r="AL6" s="80">
        <f t="shared" ref="AL6:AL36" si="23">IF(Z6=0,0,(AG6+AH6)/(AB6+AC6+AG6+AH6))</f>
        <v>0.3000000000000001</v>
      </c>
      <c r="AM6" s="80">
        <f t="shared" ref="AM6:AM36" si="24">IF(Z6=0,0,AD6/(AD6+AI6))</f>
        <v>0.73060003002997809</v>
      </c>
      <c r="AN6" s="83">
        <f t="shared" ref="AN6:AN36" si="25">IF(Z6=0,0,AI6/(AD6+AI6))</f>
        <v>0.2693999699700218</v>
      </c>
      <c r="AO6" s="3"/>
    </row>
    <row r="7" spans="1:41">
      <c r="A7" s="7" t="s">
        <v>6</v>
      </c>
      <c r="B7" s="8" t="s">
        <v>5</v>
      </c>
      <c r="C7" s="8"/>
      <c r="D7" s="97"/>
      <c r="E7" s="8"/>
      <c r="F7" s="9"/>
      <c r="H7" s="63">
        <f t="shared" ref="H7:H36" si="26">H6+1</f>
        <v>1982</v>
      </c>
      <c r="I7" s="63">
        <f t="shared" si="0"/>
        <v>3</v>
      </c>
      <c r="J7" s="65">
        <v>-2.8478250884203839E-2</v>
      </c>
      <c r="K7" s="66">
        <f t="shared" si="1"/>
        <v>84000</v>
      </c>
      <c r="L7" s="228">
        <f t="shared" si="13"/>
        <v>247679.50921318153</v>
      </c>
      <c r="M7" s="228">
        <f t="shared" si="14"/>
        <v>322233.85693665897</v>
      </c>
      <c r="N7" s="227">
        <f t="shared" si="2"/>
        <v>0</v>
      </c>
      <c r="O7" s="67">
        <v>0.08</v>
      </c>
      <c r="P7" s="66">
        <f t="shared" si="3"/>
        <v>36000.000000000007</v>
      </c>
      <c r="Q7" s="227">
        <f t="shared" si="15"/>
        <v>80676.000000000015</v>
      </c>
      <c r="R7" s="66">
        <f t="shared" si="16"/>
        <v>126010.08000000005</v>
      </c>
      <c r="S7" s="66">
        <f t="shared" si="4"/>
        <v>0</v>
      </c>
      <c r="T7" s="65">
        <f t="shared" si="17"/>
        <v>0.73976900561620273</v>
      </c>
      <c r="U7" s="65">
        <f t="shared" si="18"/>
        <v>0.26023099438379732</v>
      </c>
      <c r="V7" s="65">
        <f t="shared" si="5"/>
        <v>0.71888057011732331</v>
      </c>
      <c r="W7" s="68">
        <f t="shared" si="6"/>
        <v>0.28111942988267663</v>
      </c>
      <c r="X7" s="3"/>
      <c r="Y7" s="78">
        <f t="shared" ref="Y7:Y36" si="27">Y6+1</f>
        <v>1982</v>
      </c>
      <c r="Z7" s="78">
        <f t="shared" si="19"/>
        <v>3</v>
      </c>
      <c r="AA7" s="80">
        <v>-2.8478250884203839E-2</v>
      </c>
      <c r="AB7" s="81">
        <f t="shared" si="7"/>
        <v>84000</v>
      </c>
      <c r="AC7" s="78">
        <f t="shared" si="8"/>
        <v>229001.84807612971</v>
      </c>
      <c r="AD7" s="78">
        <f t="shared" si="20"/>
        <v>304088.10291939822</v>
      </c>
      <c r="AE7" s="78">
        <f t="shared" si="9"/>
        <v>0</v>
      </c>
      <c r="AF7" s="82">
        <v>0.08</v>
      </c>
      <c r="AG7" s="81">
        <f t="shared" si="10"/>
        <v>36000.000000000007</v>
      </c>
      <c r="AH7" s="78">
        <f t="shared" si="11"/>
        <v>98143.649175484185</v>
      </c>
      <c r="AI7" s="81">
        <f t="shared" si="21"/>
        <v>144875.14110952296</v>
      </c>
      <c r="AJ7" s="81">
        <f t="shared" si="12"/>
        <v>0</v>
      </c>
      <c r="AK7" s="80">
        <f t="shared" si="22"/>
        <v>0.7</v>
      </c>
      <c r="AL7" s="80">
        <f t="shared" si="23"/>
        <v>0.3000000000000001</v>
      </c>
      <c r="AM7" s="80">
        <f t="shared" si="24"/>
        <v>0.67731179993836998</v>
      </c>
      <c r="AN7" s="83">
        <f t="shared" si="25"/>
        <v>0.32268820006163007</v>
      </c>
      <c r="AO7" s="3"/>
    </row>
    <row r="8" spans="1:41">
      <c r="E8" s="8"/>
      <c r="F8" s="9"/>
      <c r="H8" s="63">
        <f t="shared" si="26"/>
        <v>1983</v>
      </c>
      <c r="I8" s="63">
        <f t="shared" si="0"/>
        <v>4</v>
      </c>
      <c r="J8" s="65">
        <v>0.15989787716892828</v>
      </c>
      <c r="K8" s="66">
        <f t="shared" si="1"/>
        <v>84000</v>
      </c>
      <c r="L8" s="228">
        <f t="shared" si="13"/>
        <v>322233.85693665897</v>
      </c>
      <c r="M8" s="228">
        <f t="shared" si="14"/>
        <v>471189.78829497687</v>
      </c>
      <c r="N8" s="227">
        <f t="shared" si="2"/>
        <v>0</v>
      </c>
      <c r="O8" s="67">
        <v>0.08</v>
      </c>
      <c r="P8" s="66">
        <f t="shared" si="3"/>
        <v>36000.000000000007</v>
      </c>
      <c r="Q8" s="227">
        <f t="shared" si="15"/>
        <v>126010.08000000005</v>
      </c>
      <c r="R8" s="66">
        <f t="shared" si="16"/>
        <v>174970.88640000005</v>
      </c>
      <c r="S8" s="66">
        <f t="shared" si="4"/>
        <v>0</v>
      </c>
      <c r="T8" s="65">
        <f t="shared" si="17"/>
        <v>0.7148934296186622</v>
      </c>
      <c r="U8" s="65">
        <f t="shared" si="18"/>
        <v>0.2851065703813378</v>
      </c>
      <c r="V8" s="65">
        <f t="shared" si="5"/>
        <v>0.72921458508350756</v>
      </c>
      <c r="W8" s="68">
        <f t="shared" si="6"/>
        <v>0.2707854149164925</v>
      </c>
      <c r="X8" s="3"/>
      <c r="Y8" s="78">
        <f t="shared" si="27"/>
        <v>1983</v>
      </c>
      <c r="Z8" s="78">
        <f t="shared" si="19"/>
        <v>4</v>
      </c>
      <c r="AA8" s="80">
        <v>0.15989787716892828</v>
      </c>
      <c r="AB8" s="81">
        <f t="shared" si="7"/>
        <v>84000</v>
      </c>
      <c r="AC8" s="78">
        <f t="shared" si="8"/>
        <v>314274.2708202448</v>
      </c>
      <c r="AD8" s="78">
        <f t="shared" si="20"/>
        <v>461957.48125540483</v>
      </c>
      <c r="AE8" s="78">
        <f t="shared" si="9"/>
        <v>0</v>
      </c>
      <c r="AF8" s="82">
        <v>0.08</v>
      </c>
      <c r="AG8" s="81">
        <f t="shared" si="10"/>
        <v>36000.000000000007</v>
      </c>
      <c r="AH8" s="78">
        <f t="shared" si="11"/>
        <v>134688.97320867638</v>
      </c>
      <c r="AI8" s="81">
        <f t="shared" si="21"/>
        <v>184344.09106537051</v>
      </c>
      <c r="AJ8" s="81">
        <f t="shared" si="12"/>
        <v>0</v>
      </c>
      <c r="AK8" s="80">
        <f t="shared" si="22"/>
        <v>0.69999999999999984</v>
      </c>
      <c r="AL8" s="80">
        <f t="shared" si="23"/>
        <v>0.30000000000000004</v>
      </c>
      <c r="AM8" s="80">
        <f t="shared" si="24"/>
        <v>0.71477078354704049</v>
      </c>
      <c r="AN8" s="83">
        <f t="shared" si="25"/>
        <v>0.28522921645295951</v>
      </c>
      <c r="AO8" s="3"/>
    </row>
    <row r="9" spans="1:41">
      <c r="A9" s="7" t="s">
        <v>19</v>
      </c>
      <c r="B9" s="97">
        <v>0.7</v>
      </c>
      <c r="C9" s="27" t="s">
        <v>20</v>
      </c>
      <c r="D9" s="35">
        <f>100%-eqper</f>
        <v>0.30000000000000004</v>
      </c>
      <c r="E9" s="8"/>
      <c r="F9" s="9"/>
      <c r="H9" s="63">
        <f t="shared" si="26"/>
        <v>1984</v>
      </c>
      <c r="I9" s="63">
        <f t="shared" si="0"/>
        <v>5</v>
      </c>
      <c r="J9" s="65">
        <v>0.44238372803978315</v>
      </c>
      <c r="K9" s="66">
        <f t="shared" si="1"/>
        <v>84000</v>
      </c>
      <c r="L9" s="228">
        <f t="shared" si="13"/>
        <v>471189.78829497687</v>
      </c>
      <c r="M9" s="228">
        <f t="shared" si="14"/>
        <v>800796.71661052655</v>
      </c>
      <c r="N9" s="227">
        <f>IF(I9=time1,M9,0)</f>
        <v>0</v>
      </c>
      <c r="O9" s="67">
        <v>0.08</v>
      </c>
      <c r="P9" s="66">
        <f t="shared" si="3"/>
        <v>36000.000000000007</v>
      </c>
      <c r="Q9" s="227">
        <f t="shared" si="15"/>
        <v>174970.88640000005</v>
      </c>
      <c r="R9" s="66">
        <f t="shared" si="16"/>
        <v>227848.55731200008</v>
      </c>
      <c r="S9" s="66">
        <f t="shared" si="4"/>
        <v>0</v>
      </c>
      <c r="T9" s="65">
        <f t="shared" si="17"/>
        <v>0.72463884747935992</v>
      </c>
      <c r="U9" s="65">
        <f t="shared" si="18"/>
        <v>0.27536115252064008</v>
      </c>
      <c r="V9" s="65">
        <f t="shared" si="5"/>
        <v>0.77849647192452787</v>
      </c>
      <c r="W9" s="68">
        <f t="shared" si="6"/>
        <v>0.22150352807547211</v>
      </c>
      <c r="X9" s="3"/>
      <c r="Y9" s="78">
        <f t="shared" si="27"/>
        <v>1984</v>
      </c>
      <c r="Z9" s="78">
        <f t="shared" si="19"/>
        <v>5</v>
      </c>
      <c r="AA9" s="80">
        <v>0.44238372803978315</v>
      </c>
      <c r="AB9" s="81">
        <f t="shared" si="7"/>
        <v>84000</v>
      </c>
      <c r="AC9" s="78">
        <f t="shared" si="8"/>
        <v>452411.10062454274</v>
      </c>
      <c r="AD9" s="78">
        <f t="shared" si="20"/>
        <v>773710.64308075106</v>
      </c>
      <c r="AE9" s="78">
        <f>IF(Z9=time1,AD9,0)</f>
        <v>0</v>
      </c>
      <c r="AF9" s="82">
        <v>0.08</v>
      </c>
      <c r="AG9" s="81">
        <f t="shared" si="10"/>
        <v>36000.000000000007</v>
      </c>
      <c r="AH9" s="78">
        <f t="shared" si="11"/>
        <v>193890.47169623265</v>
      </c>
      <c r="AI9" s="81">
        <f t="shared" si="21"/>
        <v>248281.70943193129</v>
      </c>
      <c r="AJ9" s="81">
        <f t="shared" si="12"/>
        <v>0</v>
      </c>
      <c r="AK9" s="80">
        <f t="shared" si="22"/>
        <v>0.7</v>
      </c>
      <c r="AL9" s="80">
        <f t="shared" si="23"/>
        <v>0.30000000000000004</v>
      </c>
      <c r="AM9" s="80">
        <f t="shared" si="24"/>
        <v>0.75706108874346956</v>
      </c>
      <c r="AN9" s="83">
        <f t="shared" si="25"/>
        <v>0.24293891125653042</v>
      </c>
      <c r="AO9" s="3"/>
    </row>
    <row r="10" spans="1:41">
      <c r="C10" s="8"/>
      <c r="D10" s="8"/>
      <c r="E10" s="8"/>
      <c r="F10" s="9"/>
      <c r="H10" s="63">
        <f t="shared" si="26"/>
        <v>1985</v>
      </c>
      <c r="I10" s="63">
        <f t="shared" si="0"/>
        <v>6</v>
      </c>
      <c r="J10" s="65">
        <v>0.62242129655796075</v>
      </c>
      <c r="K10" s="66">
        <f t="shared" si="1"/>
        <v>84000</v>
      </c>
      <c r="L10" s="228">
        <f t="shared" si="13"/>
        <v>800796.71661052655</v>
      </c>
      <c r="M10" s="228">
        <f t="shared" si="14"/>
        <v>1435513.0361534772</v>
      </c>
      <c r="N10" s="227">
        <f>IF(I10=time1,M10,0)</f>
        <v>0</v>
      </c>
      <c r="O10" s="67">
        <v>8.5000000000000006E-2</v>
      </c>
      <c r="P10" s="66">
        <f t="shared" si="3"/>
        <v>36000.000000000007</v>
      </c>
      <c r="Q10" s="227">
        <f t="shared" si="15"/>
        <v>227848.55731200008</v>
      </c>
      <c r="R10" s="66">
        <f t="shared" si="16"/>
        <v>286275.68468352006</v>
      </c>
      <c r="S10" s="66">
        <f t="shared" si="4"/>
        <v>0</v>
      </c>
      <c r="T10" s="65">
        <f t="shared" si="17"/>
        <v>0.77029587523484977</v>
      </c>
      <c r="U10" s="65">
        <f t="shared" si="18"/>
        <v>0.22970412476515009</v>
      </c>
      <c r="V10" s="65">
        <f t="shared" si="5"/>
        <v>0.83373355788719794</v>
      </c>
      <c r="W10" s="68">
        <f t="shared" si="6"/>
        <v>0.16626644211280203</v>
      </c>
      <c r="X10" s="3"/>
      <c r="Y10" s="78">
        <f t="shared" si="27"/>
        <v>1985</v>
      </c>
      <c r="Z10" s="78">
        <f t="shared" si="19"/>
        <v>6</v>
      </c>
      <c r="AA10" s="80">
        <v>0.62242129655796075</v>
      </c>
      <c r="AB10" s="81">
        <f t="shared" si="7"/>
        <v>84000</v>
      </c>
      <c r="AC10" s="78">
        <f t="shared" si="8"/>
        <v>715394.64675887756</v>
      </c>
      <c r="AD10" s="78">
        <f t="shared" si="20"/>
        <v>1296954.8992560313</v>
      </c>
      <c r="AE10" s="78">
        <f>IF(Z10=time1,AD10,0)</f>
        <v>0</v>
      </c>
      <c r="AF10" s="82">
        <v>8.5000000000000006E-2</v>
      </c>
      <c r="AG10" s="81">
        <f t="shared" si="10"/>
        <v>36000.000000000007</v>
      </c>
      <c r="AH10" s="78">
        <f t="shared" si="11"/>
        <v>306597.70575380477</v>
      </c>
      <c r="AI10" s="81">
        <f t="shared" si="21"/>
        <v>371718.51074287813</v>
      </c>
      <c r="AJ10" s="81">
        <f t="shared" si="12"/>
        <v>0</v>
      </c>
      <c r="AK10" s="80">
        <f t="shared" si="22"/>
        <v>0.7</v>
      </c>
      <c r="AL10" s="80">
        <f t="shared" si="23"/>
        <v>0.30000000000000004</v>
      </c>
      <c r="AM10" s="80">
        <f t="shared" si="24"/>
        <v>0.77723711032039455</v>
      </c>
      <c r="AN10" s="83">
        <f t="shared" si="25"/>
        <v>0.22276288967960547</v>
      </c>
      <c r="AO10" s="3"/>
    </row>
    <row r="11" spans="1:41" ht="15" thickBot="1">
      <c r="A11" s="13" t="s">
        <v>22</v>
      </c>
      <c r="B11" s="10"/>
      <c r="C11" s="10"/>
      <c r="D11" s="10"/>
      <c r="E11" s="10"/>
      <c r="F11" s="11"/>
      <c r="H11" s="63">
        <f t="shared" si="26"/>
        <v>1986</v>
      </c>
      <c r="I11" s="63">
        <f t="shared" si="0"/>
        <v>7</v>
      </c>
      <c r="J11" s="65">
        <v>-0.11104143805194128</v>
      </c>
      <c r="K11" s="66">
        <f t="shared" si="1"/>
        <v>84000</v>
      </c>
      <c r="L11" s="228">
        <f t="shared" si="13"/>
        <v>1435513.0361534772</v>
      </c>
      <c r="M11" s="228">
        <f t="shared" si="14"/>
        <v>1350784.1234803235</v>
      </c>
      <c r="N11" s="227">
        <f t="shared" si="2"/>
        <v>0</v>
      </c>
      <c r="O11" s="67">
        <v>8.5000000000000006E-2</v>
      </c>
      <c r="P11" s="66">
        <f t="shared" si="3"/>
        <v>36000.000000000007</v>
      </c>
      <c r="Q11" s="227">
        <f t="shared" si="15"/>
        <v>286275.68468352006</v>
      </c>
      <c r="R11" s="66">
        <f t="shared" si="16"/>
        <v>349669.11788161926</v>
      </c>
      <c r="S11" s="66">
        <f t="shared" si="4"/>
        <v>0</v>
      </c>
      <c r="T11" s="65">
        <f t="shared" si="17"/>
        <v>0.82502027456381499</v>
      </c>
      <c r="U11" s="65">
        <f t="shared" si="18"/>
        <v>0.17497972543618495</v>
      </c>
      <c r="V11" s="65">
        <f t="shared" si="5"/>
        <v>0.79436710791203002</v>
      </c>
      <c r="W11" s="68">
        <f t="shared" si="6"/>
        <v>0.20563289208797006</v>
      </c>
      <c r="X11" s="3"/>
      <c r="Y11" s="78">
        <f t="shared" si="27"/>
        <v>1986</v>
      </c>
      <c r="Z11" s="78">
        <f t="shared" si="19"/>
        <v>7</v>
      </c>
      <c r="AA11" s="80">
        <v>-0.11104143805194128</v>
      </c>
      <c r="AB11" s="81">
        <f t="shared" si="7"/>
        <v>84000</v>
      </c>
      <c r="AC11" s="78">
        <f t="shared" si="8"/>
        <v>1168071.3869992364</v>
      </c>
      <c r="AD11" s="78">
        <f t="shared" si="20"/>
        <v>1113039.5796431524</v>
      </c>
      <c r="AE11" s="78">
        <f t="shared" ref="AE11:AE36" si="28">IF(Z11=time1,AD11,0)</f>
        <v>0</v>
      </c>
      <c r="AF11" s="82">
        <v>8.5000000000000006E-2</v>
      </c>
      <c r="AG11" s="81">
        <f t="shared" si="10"/>
        <v>36000.000000000007</v>
      </c>
      <c r="AH11" s="78">
        <f t="shared" si="11"/>
        <v>500602.02299967286</v>
      </c>
      <c r="AI11" s="81">
        <f t="shared" si="21"/>
        <v>582213.19495464512</v>
      </c>
      <c r="AJ11" s="81">
        <f t="shared" si="12"/>
        <v>0</v>
      </c>
      <c r="AK11" s="80">
        <f t="shared" si="22"/>
        <v>0.7</v>
      </c>
      <c r="AL11" s="80">
        <f t="shared" si="23"/>
        <v>0.30000000000000004</v>
      </c>
      <c r="AM11" s="80">
        <f t="shared" si="24"/>
        <v>0.65656260607343553</v>
      </c>
      <c r="AN11" s="83">
        <f t="shared" si="25"/>
        <v>0.34343739392656442</v>
      </c>
      <c r="AO11" s="3"/>
    </row>
    <row r="12" spans="1:41">
      <c r="A12" s="27"/>
      <c r="H12" s="63">
        <f t="shared" si="26"/>
        <v>1987</v>
      </c>
      <c r="I12" s="63">
        <f t="shared" si="0"/>
        <v>8</v>
      </c>
      <c r="J12" s="65">
        <v>-0.21943334117093818</v>
      </c>
      <c r="K12" s="66">
        <f t="shared" si="1"/>
        <v>84000</v>
      </c>
      <c r="L12" s="228">
        <f t="shared" si="13"/>
        <v>1350784.1234803235</v>
      </c>
      <c r="M12" s="228">
        <f t="shared" si="14"/>
        <v>1119944.6494060203</v>
      </c>
      <c r="N12" s="227">
        <f t="shared" si="2"/>
        <v>0</v>
      </c>
      <c r="O12" s="67">
        <v>0.09</v>
      </c>
      <c r="P12" s="66">
        <f t="shared" si="3"/>
        <v>36000.000000000007</v>
      </c>
      <c r="Q12" s="227">
        <f t="shared" si="15"/>
        <v>349669.11788161926</v>
      </c>
      <c r="R12" s="66">
        <f t="shared" si="16"/>
        <v>420379.33849096502</v>
      </c>
      <c r="S12" s="66">
        <f t="shared" si="4"/>
        <v>0</v>
      </c>
      <c r="T12" s="65">
        <f t="shared" si="17"/>
        <v>0.78814664990072081</v>
      </c>
      <c r="U12" s="65">
        <f t="shared" si="18"/>
        <v>0.21185335009927919</v>
      </c>
      <c r="V12" s="65">
        <f t="shared" si="5"/>
        <v>0.72708382016116502</v>
      </c>
      <c r="W12" s="68">
        <f t="shared" si="6"/>
        <v>0.27291617983883493</v>
      </c>
      <c r="X12" s="3"/>
      <c r="Y12" s="78">
        <f t="shared" si="27"/>
        <v>1987</v>
      </c>
      <c r="Z12" s="78">
        <f t="shared" si="19"/>
        <v>8</v>
      </c>
      <c r="AA12" s="80">
        <v>-0.21943334117093818</v>
      </c>
      <c r="AB12" s="81">
        <f t="shared" si="7"/>
        <v>84000</v>
      </c>
      <c r="AC12" s="78">
        <f t="shared" si="8"/>
        <v>1186676.9422184583</v>
      </c>
      <c r="AD12" s="78">
        <f t="shared" si="20"/>
        <v>991848.05523859081</v>
      </c>
      <c r="AE12" s="78">
        <f t="shared" si="28"/>
        <v>0</v>
      </c>
      <c r="AF12" s="82">
        <v>0.09</v>
      </c>
      <c r="AG12" s="81">
        <f t="shared" si="10"/>
        <v>36000.000000000007</v>
      </c>
      <c r="AH12" s="78">
        <f t="shared" si="11"/>
        <v>508575.83237933932</v>
      </c>
      <c r="AI12" s="81">
        <f t="shared" si="21"/>
        <v>593587.65729348001</v>
      </c>
      <c r="AJ12" s="81">
        <f t="shared" si="12"/>
        <v>0</v>
      </c>
      <c r="AK12" s="80">
        <f t="shared" si="22"/>
        <v>0.7</v>
      </c>
      <c r="AL12" s="80">
        <f t="shared" si="23"/>
        <v>0.30000000000000004</v>
      </c>
      <c r="AM12" s="80">
        <f t="shared" si="24"/>
        <v>0.62559966790108956</v>
      </c>
      <c r="AN12" s="83">
        <f t="shared" si="25"/>
        <v>0.37440033209891038</v>
      </c>
      <c r="AO12" s="3"/>
    </row>
    <row r="13" spans="1:41">
      <c r="A13" s="38"/>
      <c r="B13" s="38" t="s">
        <v>26</v>
      </c>
      <c r="C13" s="38" t="s">
        <v>27</v>
      </c>
      <c r="D13" s="38" t="s">
        <v>28</v>
      </c>
      <c r="E13" s="38" t="s">
        <v>29</v>
      </c>
      <c r="F13" s="38" t="s">
        <v>30</v>
      </c>
      <c r="H13" s="63">
        <f t="shared" si="26"/>
        <v>1988</v>
      </c>
      <c r="I13" s="63">
        <f t="shared" si="0"/>
        <v>9</v>
      </c>
      <c r="J13" s="65">
        <v>0.79129954564851768</v>
      </c>
      <c r="K13" s="66">
        <f t="shared" si="1"/>
        <v>84000</v>
      </c>
      <c r="L13" s="228">
        <f t="shared" si="13"/>
        <v>1119944.6494060203</v>
      </c>
      <c r="M13" s="228">
        <f t="shared" si="14"/>
        <v>2156625.503466968</v>
      </c>
      <c r="N13" s="227">
        <f t="shared" si="2"/>
        <v>0</v>
      </c>
      <c r="O13" s="67">
        <v>0.09</v>
      </c>
      <c r="P13" s="66">
        <f t="shared" si="3"/>
        <v>36000.000000000007</v>
      </c>
      <c r="Q13" s="227">
        <f t="shared" si="15"/>
        <v>420379.33849096502</v>
      </c>
      <c r="R13" s="66">
        <f t="shared" si="16"/>
        <v>497453.47895515192</v>
      </c>
      <c r="S13" s="66">
        <f t="shared" si="4"/>
        <v>0</v>
      </c>
      <c r="T13" s="65">
        <f t="shared" si="17"/>
        <v>0.72512633569245211</v>
      </c>
      <c r="U13" s="65">
        <f t="shared" si="18"/>
        <v>0.27487366430754778</v>
      </c>
      <c r="V13" s="65">
        <f t="shared" si="5"/>
        <v>0.81257020523889056</v>
      </c>
      <c r="W13" s="68">
        <f t="shared" si="6"/>
        <v>0.18742979476110935</v>
      </c>
      <c r="X13" s="3"/>
      <c r="Y13" s="78">
        <f t="shared" si="27"/>
        <v>1988</v>
      </c>
      <c r="Z13" s="78">
        <f t="shared" si="19"/>
        <v>9</v>
      </c>
      <c r="AA13" s="80">
        <v>0.79129954564851768</v>
      </c>
      <c r="AB13" s="81">
        <f t="shared" si="7"/>
        <v>84000</v>
      </c>
      <c r="AC13" s="78">
        <f t="shared" si="8"/>
        <v>1109804.9987724496</v>
      </c>
      <c r="AD13" s="78">
        <f t="shared" si="20"/>
        <v>2138462.3518940182</v>
      </c>
      <c r="AE13" s="78">
        <f t="shared" si="28"/>
        <v>0</v>
      </c>
      <c r="AF13" s="82">
        <v>0.09</v>
      </c>
      <c r="AG13" s="81">
        <f t="shared" si="10"/>
        <v>36000.000000000007</v>
      </c>
      <c r="AH13" s="78">
        <f t="shared" si="11"/>
        <v>475630.71375962137</v>
      </c>
      <c r="AI13" s="81">
        <f t="shared" si="21"/>
        <v>557677.4779979873</v>
      </c>
      <c r="AJ13" s="81">
        <f t="shared" si="12"/>
        <v>0</v>
      </c>
      <c r="AK13" s="80">
        <f t="shared" si="22"/>
        <v>0.7</v>
      </c>
      <c r="AL13" s="80">
        <f t="shared" si="23"/>
        <v>0.30000000000000004</v>
      </c>
      <c r="AM13" s="80">
        <f t="shared" si="24"/>
        <v>0.79315706410511899</v>
      </c>
      <c r="AN13" s="83">
        <f t="shared" si="25"/>
        <v>0.20684293589488092</v>
      </c>
      <c r="AO13" s="3"/>
    </row>
    <row r="14" spans="1:41">
      <c r="A14" s="29" t="s">
        <v>25</v>
      </c>
      <c r="B14" s="32">
        <f>MAX(N2:N57)</f>
        <v>11080814.86524565</v>
      </c>
      <c r="C14" s="32">
        <f>MAX(S2:S57)</f>
        <v>1208986.4898252271</v>
      </c>
      <c r="D14" s="31">
        <f>B14+C14</f>
        <v>12289801.355070876</v>
      </c>
      <c r="E14" s="30">
        <f>B14/D14</f>
        <v>0.9016268485636354</v>
      </c>
      <c r="F14" s="30">
        <f>C14/D14</f>
        <v>9.8373151436364673E-2</v>
      </c>
      <c r="H14" s="63">
        <f t="shared" si="26"/>
        <v>1989</v>
      </c>
      <c r="I14" s="63">
        <f t="shared" si="0"/>
        <v>10</v>
      </c>
      <c r="J14" s="65">
        <v>9.4520739910313803E-2</v>
      </c>
      <c r="K14" s="66">
        <f t="shared" si="1"/>
        <v>84000</v>
      </c>
      <c r="L14" s="228">
        <f t="shared" si="13"/>
        <v>2156625.503466968</v>
      </c>
      <c r="M14" s="228">
        <f t="shared" si="14"/>
        <v>2452411.0839165854</v>
      </c>
      <c r="N14" s="227">
        <f t="shared" si="2"/>
        <v>0</v>
      </c>
      <c r="O14" s="67">
        <v>0.09</v>
      </c>
      <c r="P14" s="66">
        <f t="shared" si="3"/>
        <v>36000.000000000007</v>
      </c>
      <c r="Q14" s="227">
        <f t="shared" si="15"/>
        <v>497453.47895515192</v>
      </c>
      <c r="R14" s="66">
        <f t="shared" si="16"/>
        <v>581464.29206111573</v>
      </c>
      <c r="S14" s="66">
        <f t="shared" si="4"/>
        <v>0</v>
      </c>
      <c r="T14" s="65">
        <f t="shared" si="17"/>
        <v>0.80770068828776465</v>
      </c>
      <c r="U14" s="65">
        <f t="shared" si="18"/>
        <v>0.19229931171223538</v>
      </c>
      <c r="V14" s="65">
        <f t="shared" si="5"/>
        <v>0.80834272341403213</v>
      </c>
      <c r="W14" s="68">
        <f t="shared" si="6"/>
        <v>0.19165727658596796</v>
      </c>
      <c r="X14" s="3"/>
      <c r="Y14" s="78">
        <f t="shared" si="27"/>
        <v>1989</v>
      </c>
      <c r="Z14" s="78">
        <f t="shared" si="19"/>
        <v>10</v>
      </c>
      <c r="AA14" s="80">
        <v>9.4520739910313803E-2</v>
      </c>
      <c r="AB14" s="81">
        <f t="shared" si="7"/>
        <v>84000</v>
      </c>
      <c r="AC14" s="78">
        <f t="shared" si="8"/>
        <v>1887297.8809244039</v>
      </c>
      <c r="AD14" s="78">
        <f t="shared" si="20"/>
        <v>2157626.4152130121</v>
      </c>
      <c r="AE14" s="78">
        <f t="shared" si="28"/>
        <v>0</v>
      </c>
      <c r="AF14" s="82">
        <v>0.09</v>
      </c>
      <c r="AG14" s="81">
        <f t="shared" si="10"/>
        <v>36000.000000000007</v>
      </c>
      <c r="AH14" s="78">
        <f t="shared" si="11"/>
        <v>808841.94896760187</v>
      </c>
      <c r="AI14" s="81">
        <f t="shared" si="21"/>
        <v>920877.72437468613</v>
      </c>
      <c r="AJ14" s="81">
        <f t="shared" si="12"/>
        <v>0</v>
      </c>
      <c r="AK14" s="80">
        <f t="shared" si="22"/>
        <v>0.7</v>
      </c>
      <c r="AL14" s="80">
        <f t="shared" si="23"/>
        <v>0.30000000000000004</v>
      </c>
      <c r="AM14" s="80">
        <f t="shared" si="24"/>
        <v>0.70086844694059147</v>
      </c>
      <c r="AN14" s="83">
        <f t="shared" si="25"/>
        <v>0.29913155305940842</v>
      </c>
      <c r="AO14" s="3"/>
    </row>
    <row r="15" spans="1:41">
      <c r="A15" s="29" t="s">
        <v>31</v>
      </c>
      <c r="B15" s="32">
        <f>MAX(AE4:AE58)</f>
        <v>8580916.928613387</v>
      </c>
      <c r="C15" s="32">
        <f>MAX(AJ4:AJ58)</f>
        <v>4730533.9334482644</v>
      </c>
      <c r="D15" s="31">
        <f>B15+C15</f>
        <v>13311450.862061651</v>
      </c>
      <c r="E15" s="30">
        <f>B15/D15</f>
        <v>0.64462672157469025</v>
      </c>
      <c r="F15" s="30">
        <f>C15/D15</f>
        <v>0.35537327842530975</v>
      </c>
      <c r="H15" s="63">
        <f t="shared" si="26"/>
        <v>1990</v>
      </c>
      <c r="I15" s="63">
        <f t="shared" si="0"/>
        <v>11</v>
      </c>
      <c r="J15" s="65">
        <v>0.49538441841111336</v>
      </c>
      <c r="K15" s="66">
        <f t="shared" si="1"/>
        <v>84000</v>
      </c>
      <c r="L15" s="228">
        <f t="shared" si="13"/>
        <v>2452411.0839165854</v>
      </c>
      <c r="M15" s="228">
        <f t="shared" si="14"/>
        <v>3792909.6135741048</v>
      </c>
      <c r="N15" s="227">
        <f t="shared" si="2"/>
        <v>0</v>
      </c>
      <c r="O15" s="67">
        <v>0.09</v>
      </c>
      <c r="P15" s="66">
        <f t="shared" si="3"/>
        <v>36000.000000000007</v>
      </c>
      <c r="Q15" s="227">
        <f t="shared" si="15"/>
        <v>581464.29206111573</v>
      </c>
      <c r="R15" s="66">
        <f t="shared" si="16"/>
        <v>673036.07834661624</v>
      </c>
      <c r="S15" s="66">
        <f t="shared" si="4"/>
        <v>0</v>
      </c>
      <c r="T15" s="65">
        <f t="shared" si="17"/>
        <v>0.80422045310851831</v>
      </c>
      <c r="U15" s="65">
        <f t="shared" si="18"/>
        <v>0.19577954689148169</v>
      </c>
      <c r="V15" s="65">
        <f t="shared" si="5"/>
        <v>0.84929595548727876</v>
      </c>
      <c r="W15" s="68">
        <f t="shared" si="6"/>
        <v>0.15070404451272129</v>
      </c>
      <c r="X15" s="3"/>
      <c r="Y15" s="78">
        <f t="shared" si="27"/>
        <v>1990</v>
      </c>
      <c r="Z15" s="78">
        <f t="shared" si="19"/>
        <v>11</v>
      </c>
      <c r="AA15" s="80">
        <v>0.49538441841111336</v>
      </c>
      <c r="AB15" s="81">
        <f t="shared" si="7"/>
        <v>84000</v>
      </c>
      <c r="AC15" s="78">
        <f t="shared" si="8"/>
        <v>2154952.8977113888</v>
      </c>
      <c r="AD15" s="78">
        <f t="shared" si="20"/>
        <v>3348095.2767940219</v>
      </c>
      <c r="AE15" s="78">
        <f t="shared" si="28"/>
        <v>0</v>
      </c>
      <c r="AF15" s="82">
        <v>0.09</v>
      </c>
      <c r="AG15" s="81">
        <f t="shared" si="10"/>
        <v>36000.000000000007</v>
      </c>
      <c r="AH15" s="78">
        <f t="shared" si="11"/>
        <v>923551.24187630974</v>
      </c>
      <c r="AI15" s="81">
        <f t="shared" si="21"/>
        <v>1045910.8536451777</v>
      </c>
      <c r="AJ15" s="81">
        <f t="shared" si="12"/>
        <v>0</v>
      </c>
      <c r="AK15" s="80">
        <f t="shared" si="22"/>
        <v>0.7</v>
      </c>
      <c r="AL15" s="80">
        <f t="shared" si="23"/>
        <v>0.30000000000000004</v>
      </c>
      <c r="AM15" s="80">
        <f t="shared" si="24"/>
        <v>0.76196873135890819</v>
      </c>
      <c r="AN15" s="83">
        <f t="shared" si="25"/>
        <v>0.23803126864109186</v>
      </c>
      <c r="AO15" s="3"/>
    </row>
    <row r="16" spans="1:41">
      <c r="A16" s="27" t="s">
        <v>131</v>
      </c>
      <c r="H16" s="63">
        <f t="shared" si="26"/>
        <v>1991</v>
      </c>
      <c r="I16" s="63">
        <f t="shared" si="0"/>
        <v>12</v>
      </c>
      <c r="J16" s="65">
        <v>2.6687586153753942</v>
      </c>
      <c r="K16" s="66">
        <f t="shared" si="1"/>
        <v>84000</v>
      </c>
      <c r="L16" s="228">
        <f t="shared" si="13"/>
        <v>3792909.6135741048</v>
      </c>
      <c r="M16" s="228">
        <f t="shared" si="14"/>
        <v>14223445.545831688</v>
      </c>
      <c r="N16" s="227">
        <f t="shared" si="2"/>
        <v>0</v>
      </c>
      <c r="O16" s="67">
        <v>0.12</v>
      </c>
      <c r="P16" s="66">
        <f t="shared" si="3"/>
        <v>36000.000000000007</v>
      </c>
      <c r="Q16" s="227">
        <f t="shared" si="15"/>
        <v>673036.07834661624</v>
      </c>
      <c r="R16" s="66">
        <f t="shared" si="16"/>
        <v>794120.40774821024</v>
      </c>
      <c r="S16" s="66">
        <f t="shared" si="4"/>
        <v>0</v>
      </c>
      <c r="T16" s="65">
        <f t="shared" si="17"/>
        <v>0.84538934257425713</v>
      </c>
      <c r="U16" s="65">
        <f t="shared" si="18"/>
        <v>0.15461065742574293</v>
      </c>
      <c r="V16" s="65">
        <f t="shared" si="5"/>
        <v>0.94712056466388228</v>
      </c>
      <c r="W16" s="68">
        <f t="shared" si="6"/>
        <v>5.287943533611765E-2</v>
      </c>
      <c r="X16" s="3"/>
      <c r="Y16" s="78">
        <f t="shared" si="27"/>
        <v>1991</v>
      </c>
      <c r="Z16" s="78">
        <f t="shared" si="19"/>
        <v>12</v>
      </c>
      <c r="AA16" s="80">
        <v>2.6687586153753942</v>
      </c>
      <c r="AB16" s="81">
        <f t="shared" si="7"/>
        <v>84000</v>
      </c>
      <c r="AC16" s="78">
        <f t="shared" si="8"/>
        <v>3075804.2913074396</v>
      </c>
      <c r="AD16" s="78">
        <f t="shared" si="20"/>
        <v>11592559.216634311</v>
      </c>
      <c r="AE16" s="78">
        <f t="shared" si="28"/>
        <v>0</v>
      </c>
      <c r="AF16" s="82">
        <v>0.12</v>
      </c>
      <c r="AG16" s="81">
        <f t="shared" si="10"/>
        <v>36000.000000000007</v>
      </c>
      <c r="AH16" s="78">
        <f t="shared" si="11"/>
        <v>1318201.8391317599</v>
      </c>
      <c r="AI16" s="81">
        <f t="shared" si="21"/>
        <v>1516706.0598275713</v>
      </c>
      <c r="AJ16" s="81">
        <f t="shared" si="12"/>
        <v>0</v>
      </c>
      <c r="AK16" s="80">
        <f t="shared" si="22"/>
        <v>0.7</v>
      </c>
      <c r="AL16" s="80">
        <f t="shared" si="23"/>
        <v>0.30000000000000004</v>
      </c>
      <c r="AM16" s="80">
        <f t="shared" si="24"/>
        <v>0.88430274101242978</v>
      </c>
      <c r="AN16" s="83">
        <f t="shared" si="25"/>
        <v>0.11569725898757019</v>
      </c>
      <c r="AO16" s="3"/>
    </row>
    <row r="17" spans="1:41">
      <c r="A17" s="37" t="s">
        <v>44</v>
      </c>
      <c r="B17" s="38"/>
      <c r="C17" s="150">
        <f>(D15-D14)/D14</f>
        <v>8.3129863329258313E-2</v>
      </c>
      <c r="D17" s="37" t="s">
        <v>132</v>
      </c>
      <c r="E17" s="194">
        <f>start</f>
        <v>1980</v>
      </c>
      <c r="H17" s="63">
        <f t="shared" si="26"/>
        <v>1992</v>
      </c>
      <c r="I17" s="63">
        <f t="shared" si="0"/>
        <v>13</v>
      </c>
      <c r="J17" s="65">
        <v>-0.4677899649941657</v>
      </c>
      <c r="K17" s="66">
        <f t="shared" si="1"/>
        <v>84000</v>
      </c>
      <c r="L17" s="228">
        <f t="shared" si="13"/>
        <v>14223445.545831688</v>
      </c>
      <c r="M17" s="228">
        <f t="shared" si="14"/>
        <v>7614566.0947911507</v>
      </c>
      <c r="N17" s="227">
        <f t="shared" si="2"/>
        <v>0</v>
      </c>
      <c r="O17" s="67">
        <v>0.11</v>
      </c>
      <c r="P17" s="66">
        <f t="shared" si="3"/>
        <v>36000.000000000007</v>
      </c>
      <c r="Q17" s="227">
        <f t="shared" si="15"/>
        <v>794120.40774821024</v>
      </c>
      <c r="R17" s="66">
        <f t="shared" si="16"/>
        <v>921433.65260051342</v>
      </c>
      <c r="S17" s="66">
        <f t="shared" si="4"/>
        <v>0</v>
      </c>
      <c r="T17" s="65">
        <f t="shared" si="17"/>
        <v>0.94516156624560266</v>
      </c>
      <c r="U17" s="65">
        <f t="shared" si="18"/>
        <v>5.4838433754397231E-2</v>
      </c>
      <c r="V17" s="65">
        <f t="shared" si="5"/>
        <v>0.89205322400787623</v>
      </c>
      <c r="W17" s="68">
        <f t="shared" si="6"/>
        <v>0.10794677599212382</v>
      </c>
      <c r="X17" s="3"/>
      <c r="Y17" s="78">
        <f t="shared" si="27"/>
        <v>1992</v>
      </c>
      <c r="Z17" s="78">
        <f t="shared" si="19"/>
        <v>13</v>
      </c>
      <c r="AA17" s="80">
        <v>-0.4677899649941657</v>
      </c>
      <c r="AB17" s="81">
        <f t="shared" si="7"/>
        <v>84000</v>
      </c>
      <c r="AC17" s="78">
        <f t="shared" si="8"/>
        <v>9176485.6935233176</v>
      </c>
      <c r="AD17" s="78">
        <f t="shared" si="20"/>
        <v>4928523.4151210729</v>
      </c>
      <c r="AE17" s="78">
        <f t="shared" si="28"/>
        <v>0</v>
      </c>
      <c r="AF17" s="82">
        <v>0.11</v>
      </c>
      <c r="AG17" s="81">
        <f t="shared" si="10"/>
        <v>36000.000000000007</v>
      </c>
      <c r="AH17" s="78">
        <f t="shared" si="11"/>
        <v>3932779.5829385654</v>
      </c>
      <c r="AI17" s="81">
        <f t="shared" si="21"/>
        <v>4405345.3370618084</v>
      </c>
      <c r="AJ17" s="81">
        <f t="shared" si="12"/>
        <v>0</v>
      </c>
      <c r="AK17" s="80">
        <f t="shared" si="22"/>
        <v>0.7</v>
      </c>
      <c r="AL17" s="80">
        <f t="shared" si="23"/>
        <v>0.30000000000000004</v>
      </c>
      <c r="AM17" s="80">
        <f t="shared" si="24"/>
        <v>0.52802578930290345</v>
      </c>
      <c r="AN17" s="83">
        <f t="shared" si="25"/>
        <v>0.47197421069709644</v>
      </c>
      <c r="AO17" s="3"/>
    </row>
    <row r="18" spans="1:41" ht="15" thickBot="1">
      <c r="A18" s="208" t="s">
        <v>122</v>
      </c>
      <c r="B18" s="208"/>
      <c r="C18" s="208"/>
      <c r="D18" s="2"/>
      <c r="H18" s="63">
        <f t="shared" si="26"/>
        <v>1993</v>
      </c>
      <c r="I18" s="63">
        <f t="shared" si="0"/>
        <v>14</v>
      </c>
      <c r="J18" s="65">
        <v>0.65707382526792135</v>
      </c>
      <c r="K18" s="66">
        <f t="shared" si="1"/>
        <v>84000</v>
      </c>
      <c r="L18" s="228">
        <f t="shared" si="13"/>
        <v>7614566.0947911507</v>
      </c>
      <c r="M18" s="228">
        <f t="shared" si="14"/>
        <v>12757092.367773496</v>
      </c>
      <c r="N18" s="227">
        <f t="shared" si="2"/>
        <v>0</v>
      </c>
      <c r="O18" s="67">
        <v>0.1</v>
      </c>
      <c r="P18" s="66">
        <f t="shared" si="3"/>
        <v>36000.000000000007</v>
      </c>
      <c r="Q18" s="227">
        <f t="shared" si="15"/>
        <v>921433.65260051342</v>
      </c>
      <c r="R18" s="66">
        <f t="shared" si="16"/>
        <v>1053177.0178605649</v>
      </c>
      <c r="S18" s="66">
        <f t="shared" si="4"/>
        <v>0</v>
      </c>
      <c r="T18" s="65">
        <f t="shared" si="17"/>
        <v>0.88939074855114009</v>
      </c>
      <c r="U18" s="65">
        <f t="shared" si="18"/>
        <v>0.11060925144886004</v>
      </c>
      <c r="V18" s="65">
        <f t="shared" si="5"/>
        <v>0.9237395746272612</v>
      </c>
      <c r="W18" s="68">
        <f t="shared" si="6"/>
        <v>7.6260425372738749E-2</v>
      </c>
      <c r="X18" s="3"/>
      <c r="Y18" s="78">
        <f t="shared" si="27"/>
        <v>1993</v>
      </c>
      <c r="Z18" s="78">
        <f t="shared" si="19"/>
        <v>14</v>
      </c>
      <c r="AA18" s="80">
        <v>0.65707382526792135</v>
      </c>
      <c r="AB18" s="81">
        <f t="shared" si="7"/>
        <v>84000</v>
      </c>
      <c r="AC18" s="78">
        <f t="shared" si="8"/>
        <v>6533708.1265280172</v>
      </c>
      <c r="AD18" s="78">
        <f t="shared" si="20"/>
        <v>10966030.91973239</v>
      </c>
      <c r="AE18" s="78">
        <f t="shared" si="28"/>
        <v>0</v>
      </c>
      <c r="AF18" s="82">
        <v>0.1</v>
      </c>
      <c r="AG18" s="81">
        <f t="shared" si="10"/>
        <v>36000.000000000007</v>
      </c>
      <c r="AH18" s="78">
        <f t="shared" si="11"/>
        <v>2800160.6256548651</v>
      </c>
      <c r="AI18" s="81">
        <f t="shared" si="21"/>
        <v>3119776.6882203519</v>
      </c>
      <c r="AJ18" s="81">
        <f t="shared" si="12"/>
        <v>0</v>
      </c>
      <c r="AK18" s="80">
        <f t="shared" si="22"/>
        <v>0.7</v>
      </c>
      <c r="AL18" s="80">
        <f t="shared" si="23"/>
        <v>0.30000000000000004</v>
      </c>
      <c r="AM18" s="80">
        <f t="shared" si="24"/>
        <v>0.77851630697703489</v>
      </c>
      <c r="AN18" s="83">
        <f t="shared" si="25"/>
        <v>0.22148369302296514</v>
      </c>
      <c r="AO18" s="3"/>
    </row>
    <row r="19" spans="1:41">
      <c r="A19" s="201" t="s">
        <v>119</v>
      </c>
      <c r="B19" s="202"/>
      <c r="C19" s="202"/>
      <c r="D19" s="142"/>
      <c r="E19" s="162"/>
      <c r="F19" s="8"/>
      <c r="H19" s="63">
        <f t="shared" si="26"/>
        <v>1994</v>
      </c>
      <c r="I19" s="63">
        <f t="shared" si="0"/>
        <v>15</v>
      </c>
      <c r="J19" s="65">
        <v>-0.13708160116856616</v>
      </c>
      <c r="K19" s="66">
        <f t="shared" si="1"/>
        <v>84000</v>
      </c>
      <c r="L19" s="228">
        <f t="shared" si="13"/>
        <v>12757092.367773496</v>
      </c>
      <c r="M19" s="228">
        <f t="shared" si="14"/>
        <v>11080814.86524565</v>
      </c>
      <c r="N19" s="227">
        <f t="shared" si="2"/>
        <v>11080814.86524565</v>
      </c>
      <c r="O19" s="67">
        <v>0.11</v>
      </c>
      <c r="P19" s="66">
        <f t="shared" si="3"/>
        <v>36000.000000000007</v>
      </c>
      <c r="Q19" s="227">
        <f t="shared" si="15"/>
        <v>1053177.0178605649</v>
      </c>
      <c r="R19" s="66">
        <f t="shared" si="16"/>
        <v>1208986.4898252271</v>
      </c>
      <c r="S19" s="66">
        <f t="shared" si="4"/>
        <v>1208986.4898252271</v>
      </c>
      <c r="T19" s="65">
        <f t="shared" si="17"/>
        <v>0.9218122070931517</v>
      </c>
      <c r="U19" s="65">
        <f t="shared" si="18"/>
        <v>7.8187792906848297E-2</v>
      </c>
      <c r="V19" s="65">
        <f t="shared" si="5"/>
        <v>0.9016268485636354</v>
      </c>
      <c r="W19" s="68">
        <f t="shared" si="6"/>
        <v>9.8373151436364673E-2</v>
      </c>
      <c r="X19" s="3"/>
      <c r="Y19" s="78">
        <f t="shared" si="27"/>
        <v>1994</v>
      </c>
      <c r="Z19" s="78">
        <f t="shared" si="19"/>
        <v>15</v>
      </c>
      <c r="AA19" s="80">
        <v>-0.13708160116856616</v>
      </c>
      <c r="AB19" s="81">
        <f t="shared" si="7"/>
        <v>84000</v>
      </c>
      <c r="AC19" s="78">
        <f t="shared" si="8"/>
        <v>9860065.3255669195</v>
      </c>
      <c r="AD19" s="78">
        <f t="shared" si="20"/>
        <v>8580916.928613387</v>
      </c>
      <c r="AE19" s="78">
        <f t="shared" si="28"/>
        <v>8580916.928613387</v>
      </c>
      <c r="AF19" s="82">
        <v>0.11</v>
      </c>
      <c r="AG19" s="81">
        <f t="shared" si="10"/>
        <v>36000.000000000007</v>
      </c>
      <c r="AH19" s="78">
        <f t="shared" si="11"/>
        <v>4225742.2823858233</v>
      </c>
      <c r="AI19" s="81">
        <f t="shared" si="21"/>
        <v>4730533.9334482644</v>
      </c>
      <c r="AJ19" s="81">
        <f t="shared" si="12"/>
        <v>4730533.9334482644</v>
      </c>
      <c r="AK19" s="80">
        <f t="shared" si="22"/>
        <v>0.7</v>
      </c>
      <c r="AL19" s="80">
        <f t="shared" si="23"/>
        <v>0.3</v>
      </c>
      <c r="AM19" s="80">
        <f t="shared" si="24"/>
        <v>0.64462672157469025</v>
      </c>
      <c r="AN19" s="83">
        <f t="shared" si="25"/>
        <v>0.35537327842530975</v>
      </c>
      <c r="AO19" s="3"/>
    </row>
    <row r="20" spans="1:41">
      <c r="A20" s="203" t="s">
        <v>120</v>
      </c>
      <c r="B20" s="204"/>
      <c r="C20" s="204"/>
      <c r="D20" s="143"/>
      <c r="E20" s="163"/>
      <c r="H20" s="63">
        <f t="shared" si="26"/>
        <v>1995</v>
      </c>
      <c r="I20" s="63">
        <f t="shared" si="0"/>
        <v>0</v>
      </c>
      <c r="J20" s="65">
        <v>3.2398434816741109E-2</v>
      </c>
      <c r="K20" s="66">
        <f t="shared" si="1"/>
        <v>0</v>
      </c>
      <c r="L20" s="228">
        <f t="shared" si="13"/>
        <v>0</v>
      </c>
      <c r="M20" s="228">
        <f t="shared" si="14"/>
        <v>0</v>
      </c>
      <c r="N20" s="227">
        <f t="shared" si="2"/>
        <v>0</v>
      </c>
      <c r="O20" s="67">
        <v>0.12</v>
      </c>
      <c r="P20" s="66">
        <f t="shared" si="3"/>
        <v>0</v>
      </c>
      <c r="Q20" s="227">
        <f t="shared" si="15"/>
        <v>0</v>
      </c>
      <c r="R20" s="66">
        <f t="shared" si="16"/>
        <v>0</v>
      </c>
      <c r="S20" s="66">
        <f t="shared" si="4"/>
        <v>0</v>
      </c>
      <c r="T20" s="65">
        <f t="shared" si="17"/>
        <v>0</v>
      </c>
      <c r="U20" s="65">
        <f t="shared" si="18"/>
        <v>0</v>
      </c>
      <c r="V20" s="65">
        <f t="shared" si="5"/>
        <v>0</v>
      </c>
      <c r="W20" s="68">
        <f t="shared" si="6"/>
        <v>0</v>
      </c>
      <c r="X20" s="3"/>
      <c r="Y20" s="78">
        <f t="shared" si="27"/>
        <v>1995</v>
      </c>
      <c r="Z20" s="78">
        <f t="shared" si="19"/>
        <v>0</v>
      </c>
      <c r="AA20" s="80">
        <v>3.2398434816741109E-2</v>
      </c>
      <c r="AB20" s="81">
        <f t="shared" si="7"/>
        <v>0</v>
      </c>
      <c r="AC20" s="78">
        <f t="shared" si="8"/>
        <v>0</v>
      </c>
      <c r="AD20" s="78">
        <f t="shared" si="20"/>
        <v>0</v>
      </c>
      <c r="AE20" s="78">
        <f t="shared" si="28"/>
        <v>0</v>
      </c>
      <c r="AF20" s="82">
        <v>0.12</v>
      </c>
      <c r="AG20" s="81">
        <f t="shared" si="10"/>
        <v>0</v>
      </c>
      <c r="AH20" s="78">
        <f t="shared" si="11"/>
        <v>0</v>
      </c>
      <c r="AI20" s="81">
        <f t="shared" si="21"/>
        <v>0</v>
      </c>
      <c r="AJ20" s="81">
        <f t="shared" si="12"/>
        <v>0</v>
      </c>
      <c r="AK20" s="80">
        <f t="shared" si="22"/>
        <v>0</v>
      </c>
      <c r="AL20" s="80">
        <f t="shared" si="23"/>
        <v>0</v>
      </c>
      <c r="AM20" s="80">
        <f t="shared" si="24"/>
        <v>0</v>
      </c>
      <c r="AN20" s="83">
        <f t="shared" si="25"/>
        <v>0</v>
      </c>
      <c r="AO20" s="3"/>
    </row>
    <row r="21" spans="1:41">
      <c r="A21" s="203" t="s">
        <v>121</v>
      </c>
      <c r="B21" s="204"/>
      <c r="C21" s="204"/>
      <c r="D21" s="143"/>
      <c r="E21" s="163"/>
      <c r="H21" s="63">
        <f t="shared" si="26"/>
        <v>1996</v>
      </c>
      <c r="I21" s="63">
        <f t="shared" si="0"/>
        <v>0</v>
      </c>
      <c r="J21" s="65">
        <v>-1.6990384986678749E-3</v>
      </c>
      <c r="K21" s="66">
        <f t="shared" si="1"/>
        <v>0</v>
      </c>
      <c r="L21" s="228">
        <f t="shared" si="13"/>
        <v>0</v>
      </c>
      <c r="M21" s="228">
        <f t="shared" si="14"/>
        <v>0</v>
      </c>
      <c r="N21" s="227">
        <f t="shared" si="2"/>
        <v>0</v>
      </c>
      <c r="O21" s="67">
        <v>0.12</v>
      </c>
      <c r="P21" s="66">
        <f t="shared" si="3"/>
        <v>0</v>
      </c>
      <c r="Q21" s="227">
        <f t="shared" si="15"/>
        <v>0</v>
      </c>
      <c r="R21" s="66">
        <f t="shared" si="16"/>
        <v>0</v>
      </c>
      <c r="S21" s="66">
        <f t="shared" si="4"/>
        <v>0</v>
      </c>
      <c r="T21" s="65">
        <f t="shared" si="17"/>
        <v>0</v>
      </c>
      <c r="U21" s="65">
        <f t="shared" si="18"/>
        <v>0</v>
      </c>
      <c r="V21" s="65">
        <f t="shared" si="5"/>
        <v>0</v>
      </c>
      <c r="W21" s="68">
        <f t="shared" si="6"/>
        <v>0</v>
      </c>
      <c r="X21" s="3"/>
      <c r="Y21" s="78">
        <f t="shared" si="27"/>
        <v>1996</v>
      </c>
      <c r="Z21" s="78">
        <f t="shared" si="19"/>
        <v>0</v>
      </c>
      <c r="AA21" s="80">
        <v>-1.6990384986678749E-3</v>
      </c>
      <c r="AB21" s="81">
        <f t="shared" si="7"/>
        <v>0</v>
      </c>
      <c r="AC21" s="78">
        <f t="shared" si="8"/>
        <v>0</v>
      </c>
      <c r="AD21" s="78">
        <f t="shared" si="20"/>
        <v>0</v>
      </c>
      <c r="AE21" s="78">
        <f t="shared" si="28"/>
        <v>0</v>
      </c>
      <c r="AF21" s="82">
        <v>0.12</v>
      </c>
      <c r="AG21" s="81">
        <f t="shared" si="10"/>
        <v>0</v>
      </c>
      <c r="AH21" s="78">
        <f t="shared" si="11"/>
        <v>0</v>
      </c>
      <c r="AI21" s="81">
        <f t="shared" si="21"/>
        <v>0</v>
      </c>
      <c r="AJ21" s="81">
        <f t="shared" si="12"/>
        <v>0</v>
      </c>
      <c r="AK21" s="80">
        <f t="shared" si="22"/>
        <v>0</v>
      </c>
      <c r="AL21" s="80">
        <f t="shared" si="23"/>
        <v>0</v>
      </c>
      <c r="AM21" s="80">
        <f t="shared" si="24"/>
        <v>0</v>
      </c>
      <c r="AN21" s="83">
        <f t="shared" si="25"/>
        <v>0</v>
      </c>
      <c r="AO21" s="3"/>
    </row>
    <row r="22" spans="1:41" ht="15" thickBot="1">
      <c r="A22" s="160">
        <f>D3</f>
        <v>1980</v>
      </c>
      <c r="B22" s="144" t="s">
        <v>11</v>
      </c>
      <c r="C22" s="161">
        <f>F3</f>
        <v>1997</v>
      </c>
      <c r="D22" s="145"/>
      <c r="E22" s="164"/>
      <c r="H22" s="63">
        <f t="shared" si="26"/>
        <v>1997</v>
      </c>
      <c r="I22" s="63">
        <f t="shared" si="0"/>
        <v>0</v>
      </c>
      <c r="J22" s="65">
        <v>0.15824974932235217</v>
      </c>
      <c r="K22" s="66">
        <f t="shared" si="1"/>
        <v>0</v>
      </c>
      <c r="L22" s="228">
        <f t="shared" si="13"/>
        <v>0</v>
      </c>
      <c r="M22" s="228">
        <f t="shared" si="14"/>
        <v>0</v>
      </c>
      <c r="N22" s="227">
        <f t="shared" si="2"/>
        <v>0</v>
      </c>
      <c r="O22" s="67">
        <v>0.11</v>
      </c>
      <c r="P22" s="66">
        <f t="shared" si="3"/>
        <v>0</v>
      </c>
      <c r="Q22" s="227">
        <f t="shared" si="15"/>
        <v>0</v>
      </c>
      <c r="R22" s="66">
        <f t="shared" si="16"/>
        <v>0</v>
      </c>
      <c r="S22" s="66">
        <f t="shared" si="4"/>
        <v>0</v>
      </c>
      <c r="T22" s="65">
        <f t="shared" si="17"/>
        <v>0</v>
      </c>
      <c r="U22" s="65">
        <f t="shared" si="18"/>
        <v>0</v>
      </c>
      <c r="V22" s="65">
        <f t="shared" si="5"/>
        <v>0</v>
      </c>
      <c r="W22" s="68">
        <f t="shared" si="6"/>
        <v>0</v>
      </c>
      <c r="X22" s="3"/>
      <c r="Y22" s="78">
        <f t="shared" si="27"/>
        <v>1997</v>
      </c>
      <c r="Z22" s="78">
        <f t="shared" si="19"/>
        <v>0</v>
      </c>
      <c r="AA22" s="80">
        <v>0.15824974932235217</v>
      </c>
      <c r="AB22" s="81">
        <f t="shared" si="7"/>
        <v>0</v>
      </c>
      <c r="AC22" s="78">
        <f t="shared" si="8"/>
        <v>0</v>
      </c>
      <c r="AD22" s="78">
        <f t="shared" si="20"/>
        <v>0</v>
      </c>
      <c r="AE22" s="78">
        <f t="shared" si="28"/>
        <v>0</v>
      </c>
      <c r="AF22" s="82">
        <v>0.11</v>
      </c>
      <c r="AG22" s="81">
        <f t="shared" si="10"/>
        <v>0</v>
      </c>
      <c r="AH22" s="78">
        <f t="shared" si="11"/>
        <v>0</v>
      </c>
      <c r="AI22" s="81">
        <f t="shared" si="21"/>
        <v>0</v>
      </c>
      <c r="AJ22" s="81">
        <f t="shared" si="12"/>
        <v>0</v>
      </c>
      <c r="AK22" s="80">
        <f t="shared" si="22"/>
        <v>0</v>
      </c>
      <c r="AL22" s="80">
        <f t="shared" si="23"/>
        <v>0</v>
      </c>
      <c r="AM22" s="80">
        <f t="shared" si="24"/>
        <v>0</v>
      </c>
      <c r="AN22" s="83">
        <f t="shared" si="25"/>
        <v>0</v>
      </c>
      <c r="AO22" s="3"/>
    </row>
    <row r="23" spans="1:41" ht="15" thickBot="1">
      <c r="A23" s="154" t="s">
        <v>127</v>
      </c>
      <c r="B23" s="10"/>
      <c r="C23" s="10"/>
      <c r="D23" s="159">
        <f>AVERAGE(B26:B48)</f>
        <v>0.13054108980519613</v>
      </c>
      <c r="H23" s="63">
        <f t="shared" si="26"/>
        <v>1998</v>
      </c>
      <c r="I23" s="63">
        <f t="shared" si="0"/>
        <v>0</v>
      </c>
      <c r="J23" s="65">
        <v>-3.9249887611585633E-2</v>
      </c>
      <c r="K23" s="66">
        <f t="shared" si="1"/>
        <v>0</v>
      </c>
      <c r="L23" s="228">
        <f t="shared" si="13"/>
        <v>0</v>
      </c>
      <c r="M23" s="228">
        <f t="shared" si="14"/>
        <v>0</v>
      </c>
      <c r="N23" s="227">
        <f t="shared" si="2"/>
        <v>0</v>
      </c>
      <c r="O23" s="67">
        <v>0.105</v>
      </c>
      <c r="P23" s="66">
        <f t="shared" si="3"/>
        <v>0</v>
      </c>
      <c r="Q23" s="227">
        <f t="shared" si="15"/>
        <v>0</v>
      </c>
      <c r="R23" s="66">
        <f t="shared" si="16"/>
        <v>0</v>
      </c>
      <c r="S23" s="66">
        <f t="shared" si="4"/>
        <v>0</v>
      </c>
      <c r="T23" s="65">
        <f t="shared" si="17"/>
        <v>0</v>
      </c>
      <c r="U23" s="65">
        <f t="shared" si="18"/>
        <v>0</v>
      </c>
      <c r="V23" s="65">
        <f t="shared" si="5"/>
        <v>0</v>
      </c>
      <c r="W23" s="68">
        <f t="shared" si="6"/>
        <v>0</v>
      </c>
      <c r="X23" s="3"/>
      <c r="Y23" s="78">
        <f t="shared" si="27"/>
        <v>1998</v>
      </c>
      <c r="Z23" s="78">
        <f t="shared" si="19"/>
        <v>0</v>
      </c>
      <c r="AA23" s="80">
        <v>-3.9249887611585633E-2</v>
      </c>
      <c r="AB23" s="81">
        <f t="shared" si="7"/>
        <v>0</v>
      </c>
      <c r="AC23" s="78">
        <f t="shared" si="8"/>
        <v>0</v>
      </c>
      <c r="AD23" s="78">
        <f t="shared" si="20"/>
        <v>0</v>
      </c>
      <c r="AE23" s="78">
        <f t="shared" si="28"/>
        <v>0</v>
      </c>
      <c r="AF23" s="82">
        <v>0.105</v>
      </c>
      <c r="AG23" s="81">
        <f t="shared" si="10"/>
        <v>0</v>
      </c>
      <c r="AH23" s="78">
        <f t="shared" si="11"/>
        <v>0</v>
      </c>
      <c r="AI23" s="81">
        <f t="shared" si="21"/>
        <v>0</v>
      </c>
      <c r="AJ23" s="81">
        <f t="shared" si="12"/>
        <v>0</v>
      </c>
      <c r="AK23" s="80">
        <f t="shared" si="22"/>
        <v>0</v>
      </c>
      <c r="AL23" s="80">
        <f t="shared" si="23"/>
        <v>0</v>
      </c>
      <c r="AM23" s="80">
        <f t="shared" si="24"/>
        <v>0</v>
      </c>
      <c r="AN23" s="83">
        <f t="shared" si="25"/>
        <v>0</v>
      </c>
      <c r="AO23" s="3"/>
    </row>
    <row r="24" spans="1:41">
      <c r="H24" s="63">
        <f t="shared" si="26"/>
        <v>1999</v>
      </c>
      <c r="I24" s="63">
        <f t="shared" si="0"/>
        <v>0</v>
      </c>
      <c r="J24" s="65">
        <v>0.33725494390314326</v>
      </c>
      <c r="K24" s="66">
        <f t="shared" si="1"/>
        <v>0</v>
      </c>
      <c r="L24" s="228">
        <f t="shared" si="13"/>
        <v>0</v>
      </c>
      <c r="M24" s="228">
        <f t="shared" si="14"/>
        <v>0</v>
      </c>
      <c r="N24" s="227">
        <f t="shared" si="2"/>
        <v>0</v>
      </c>
      <c r="O24" s="67">
        <v>8.5000000000000006E-2</v>
      </c>
      <c r="P24" s="66">
        <f t="shared" si="3"/>
        <v>0</v>
      </c>
      <c r="Q24" s="227">
        <f t="shared" si="15"/>
        <v>0</v>
      </c>
      <c r="R24" s="66">
        <f t="shared" si="16"/>
        <v>0</v>
      </c>
      <c r="S24" s="66">
        <f t="shared" si="4"/>
        <v>0</v>
      </c>
      <c r="T24" s="65">
        <f t="shared" si="17"/>
        <v>0</v>
      </c>
      <c r="U24" s="65">
        <f t="shared" si="18"/>
        <v>0</v>
      </c>
      <c r="V24" s="65">
        <f t="shared" si="5"/>
        <v>0</v>
      </c>
      <c r="W24" s="68">
        <f t="shared" si="6"/>
        <v>0</v>
      </c>
      <c r="X24" s="3"/>
      <c r="Y24" s="78">
        <f t="shared" si="27"/>
        <v>1999</v>
      </c>
      <c r="Z24" s="78">
        <f t="shared" si="19"/>
        <v>0</v>
      </c>
      <c r="AA24" s="80">
        <v>0.33725494390314326</v>
      </c>
      <c r="AB24" s="81">
        <f t="shared" si="7"/>
        <v>0</v>
      </c>
      <c r="AC24" s="78">
        <f t="shared" si="8"/>
        <v>0</v>
      </c>
      <c r="AD24" s="78">
        <f t="shared" si="20"/>
        <v>0</v>
      </c>
      <c r="AE24" s="78">
        <f t="shared" si="28"/>
        <v>0</v>
      </c>
      <c r="AF24" s="82">
        <v>8.5000000000000006E-2</v>
      </c>
      <c r="AG24" s="81">
        <f t="shared" si="10"/>
        <v>0</v>
      </c>
      <c r="AH24" s="78">
        <f t="shared" si="11"/>
        <v>0</v>
      </c>
      <c r="AI24" s="81">
        <f t="shared" si="21"/>
        <v>0</v>
      </c>
      <c r="AJ24" s="81">
        <f t="shared" si="12"/>
        <v>0</v>
      </c>
      <c r="AK24" s="80">
        <f t="shared" si="22"/>
        <v>0</v>
      </c>
      <c r="AL24" s="80">
        <f t="shared" si="23"/>
        <v>0</v>
      </c>
      <c r="AM24" s="80">
        <f t="shared" si="24"/>
        <v>0</v>
      </c>
      <c r="AN24" s="83">
        <f t="shared" si="25"/>
        <v>0</v>
      </c>
      <c r="AO24" s="3"/>
    </row>
    <row r="25" spans="1:41">
      <c r="A25" s="123" t="s">
        <v>0</v>
      </c>
      <c r="B25" s="123" t="s">
        <v>118</v>
      </c>
      <c r="C25" s="151"/>
      <c r="D25" s="151"/>
      <c r="H25" s="63">
        <f t="shared" si="26"/>
        <v>2000</v>
      </c>
      <c r="I25" s="63">
        <f t="shared" si="0"/>
        <v>0</v>
      </c>
      <c r="J25" s="65">
        <v>-0.27930849702476163</v>
      </c>
      <c r="K25" s="66">
        <f t="shared" si="1"/>
        <v>0</v>
      </c>
      <c r="L25" s="228">
        <f t="shared" si="13"/>
        <v>0</v>
      </c>
      <c r="M25" s="228">
        <f t="shared" si="14"/>
        <v>0</v>
      </c>
      <c r="N25" s="227">
        <f t="shared" si="2"/>
        <v>0</v>
      </c>
      <c r="O25" s="67">
        <v>8.5000000000000006E-2</v>
      </c>
      <c r="P25" s="66">
        <f t="shared" si="3"/>
        <v>0</v>
      </c>
      <c r="Q25" s="227">
        <f t="shared" si="15"/>
        <v>0</v>
      </c>
      <c r="R25" s="66">
        <f t="shared" si="16"/>
        <v>0</v>
      </c>
      <c r="S25" s="66">
        <f t="shared" si="4"/>
        <v>0</v>
      </c>
      <c r="T25" s="65">
        <f t="shared" si="17"/>
        <v>0</v>
      </c>
      <c r="U25" s="65">
        <f t="shared" si="18"/>
        <v>0</v>
      </c>
      <c r="V25" s="65">
        <f t="shared" si="5"/>
        <v>0</v>
      </c>
      <c r="W25" s="68">
        <f t="shared" si="6"/>
        <v>0</v>
      </c>
      <c r="X25" s="3"/>
      <c r="Y25" s="78">
        <f t="shared" si="27"/>
        <v>2000</v>
      </c>
      <c r="Z25" s="78">
        <f t="shared" si="19"/>
        <v>0</v>
      </c>
      <c r="AA25" s="80">
        <v>-0.27930849702476163</v>
      </c>
      <c r="AB25" s="81">
        <f t="shared" si="7"/>
        <v>0</v>
      </c>
      <c r="AC25" s="78">
        <f t="shared" si="8"/>
        <v>0</v>
      </c>
      <c r="AD25" s="78">
        <f t="shared" si="20"/>
        <v>0</v>
      </c>
      <c r="AE25" s="78">
        <f t="shared" si="28"/>
        <v>0</v>
      </c>
      <c r="AF25" s="82">
        <v>8.5000000000000006E-2</v>
      </c>
      <c r="AG25" s="81">
        <f t="shared" si="10"/>
        <v>0</v>
      </c>
      <c r="AH25" s="78">
        <f t="shared" si="11"/>
        <v>0</v>
      </c>
      <c r="AI25" s="81">
        <f t="shared" si="21"/>
        <v>0</v>
      </c>
      <c r="AJ25" s="81">
        <f t="shared" si="12"/>
        <v>0</v>
      </c>
      <c r="AK25" s="80">
        <f t="shared" si="22"/>
        <v>0</v>
      </c>
      <c r="AL25" s="80">
        <f t="shared" si="23"/>
        <v>0</v>
      </c>
      <c r="AM25" s="80">
        <f t="shared" si="24"/>
        <v>0</v>
      </c>
      <c r="AN25" s="83">
        <f t="shared" si="25"/>
        <v>0</v>
      </c>
      <c r="AO25" s="3"/>
    </row>
    <row r="26" spans="1:41">
      <c r="A26" s="119">
        <v>1980</v>
      </c>
      <c r="B26" s="129">
        <v>7.7421755545598839E-2</v>
      </c>
      <c r="C26" s="152"/>
      <c r="D26" s="147"/>
      <c r="H26" s="63">
        <f t="shared" si="26"/>
        <v>2001</v>
      </c>
      <c r="I26" s="63">
        <f t="shared" si="0"/>
        <v>0</v>
      </c>
      <c r="J26" s="65">
        <v>-3.7462753649726219E-2</v>
      </c>
      <c r="K26" s="66">
        <f t="shared" si="1"/>
        <v>0</v>
      </c>
      <c r="L26" s="228">
        <f t="shared" si="13"/>
        <v>0</v>
      </c>
      <c r="M26" s="228">
        <f t="shared" si="14"/>
        <v>0</v>
      </c>
      <c r="N26" s="227">
        <f t="shared" si="2"/>
        <v>0</v>
      </c>
      <c r="O26" s="67">
        <v>7.4999999999999997E-2</v>
      </c>
      <c r="P26" s="66">
        <f t="shared" si="3"/>
        <v>0</v>
      </c>
      <c r="Q26" s="227">
        <f t="shared" si="15"/>
        <v>0</v>
      </c>
      <c r="R26" s="66">
        <f t="shared" si="16"/>
        <v>0</v>
      </c>
      <c r="S26" s="66">
        <f t="shared" si="4"/>
        <v>0</v>
      </c>
      <c r="T26" s="65">
        <f t="shared" si="17"/>
        <v>0</v>
      </c>
      <c r="U26" s="65">
        <f t="shared" si="18"/>
        <v>0</v>
      </c>
      <c r="V26" s="65">
        <f t="shared" si="5"/>
        <v>0</v>
      </c>
      <c r="W26" s="68">
        <f t="shared" si="6"/>
        <v>0</v>
      </c>
      <c r="X26" s="3"/>
      <c r="Y26" s="78">
        <f t="shared" si="27"/>
        <v>2001</v>
      </c>
      <c r="Z26" s="78">
        <f t="shared" si="19"/>
        <v>0</v>
      </c>
      <c r="AA26" s="80">
        <v>-3.7462753649726219E-2</v>
      </c>
      <c r="AB26" s="81">
        <f t="shared" si="7"/>
        <v>0</v>
      </c>
      <c r="AC26" s="78">
        <f t="shared" si="8"/>
        <v>0</v>
      </c>
      <c r="AD26" s="78">
        <f t="shared" si="20"/>
        <v>0</v>
      </c>
      <c r="AE26" s="78">
        <f t="shared" si="28"/>
        <v>0</v>
      </c>
      <c r="AF26" s="82">
        <v>7.4999999999999997E-2</v>
      </c>
      <c r="AG26" s="81">
        <f t="shared" si="10"/>
        <v>0</v>
      </c>
      <c r="AH26" s="78">
        <f t="shared" si="11"/>
        <v>0</v>
      </c>
      <c r="AI26" s="81">
        <f t="shared" si="21"/>
        <v>0</v>
      </c>
      <c r="AJ26" s="81">
        <f t="shared" si="12"/>
        <v>0</v>
      </c>
      <c r="AK26" s="80">
        <f t="shared" si="22"/>
        <v>0</v>
      </c>
      <c r="AL26" s="80">
        <f t="shared" si="23"/>
        <v>0</v>
      </c>
      <c r="AM26" s="80">
        <f t="shared" si="24"/>
        <v>0</v>
      </c>
      <c r="AN26" s="83">
        <f t="shared" si="25"/>
        <v>0</v>
      </c>
      <c r="AO26" s="3"/>
    </row>
    <row r="27" spans="1:41">
      <c r="A27" s="119">
        <v>1981</v>
      </c>
      <c r="B27" s="129">
        <v>0.12649156826310287</v>
      </c>
      <c r="C27" s="152"/>
      <c r="D27" s="147"/>
      <c r="H27" s="63">
        <f t="shared" si="26"/>
        <v>2002</v>
      </c>
      <c r="I27" s="63">
        <f t="shared" si="0"/>
        <v>0</v>
      </c>
      <c r="J27" s="65">
        <v>-0.12124173116001562</v>
      </c>
      <c r="K27" s="66">
        <f t="shared" si="1"/>
        <v>0</v>
      </c>
      <c r="L27" s="228">
        <f t="shared" si="13"/>
        <v>0</v>
      </c>
      <c r="M27" s="228">
        <f t="shared" si="14"/>
        <v>0</v>
      </c>
      <c r="N27" s="227">
        <f t="shared" si="2"/>
        <v>0</v>
      </c>
      <c r="O27" s="67">
        <v>4.2500000000000003E-2</v>
      </c>
      <c r="P27" s="66">
        <f t="shared" si="3"/>
        <v>0</v>
      </c>
      <c r="Q27" s="227">
        <f t="shared" si="15"/>
        <v>0</v>
      </c>
      <c r="R27" s="66">
        <f t="shared" si="16"/>
        <v>0</v>
      </c>
      <c r="S27" s="66">
        <f t="shared" si="4"/>
        <v>0</v>
      </c>
      <c r="T27" s="65">
        <f t="shared" si="17"/>
        <v>0</v>
      </c>
      <c r="U27" s="65">
        <f t="shared" si="18"/>
        <v>0</v>
      </c>
      <c r="V27" s="65">
        <f t="shared" si="5"/>
        <v>0</v>
      </c>
      <c r="W27" s="68">
        <f t="shared" si="6"/>
        <v>0</v>
      </c>
      <c r="X27" s="3"/>
      <c r="Y27" s="78">
        <f t="shared" si="27"/>
        <v>2002</v>
      </c>
      <c r="Z27" s="78">
        <f t="shared" si="19"/>
        <v>0</v>
      </c>
      <c r="AA27" s="80">
        <v>-0.12124173116001562</v>
      </c>
      <c r="AB27" s="81">
        <f t="shared" si="7"/>
        <v>0</v>
      </c>
      <c r="AC27" s="78">
        <f t="shared" si="8"/>
        <v>0</v>
      </c>
      <c r="AD27" s="78">
        <f t="shared" si="20"/>
        <v>0</v>
      </c>
      <c r="AE27" s="78">
        <f t="shared" si="28"/>
        <v>0</v>
      </c>
      <c r="AF27" s="82">
        <v>4.2500000000000003E-2</v>
      </c>
      <c r="AG27" s="81">
        <f t="shared" si="10"/>
        <v>0</v>
      </c>
      <c r="AH27" s="78">
        <f t="shared" si="11"/>
        <v>0</v>
      </c>
      <c r="AI27" s="81">
        <f t="shared" si="21"/>
        <v>0</v>
      </c>
      <c r="AJ27" s="81">
        <f t="shared" si="12"/>
        <v>0</v>
      </c>
      <c r="AK27" s="80">
        <f t="shared" si="22"/>
        <v>0</v>
      </c>
      <c r="AL27" s="80">
        <f t="shared" si="23"/>
        <v>0</v>
      </c>
      <c r="AM27" s="80">
        <f t="shared" si="24"/>
        <v>0</v>
      </c>
      <c r="AN27" s="83">
        <f t="shared" si="25"/>
        <v>0</v>
      </c>
      <c r="AO27" s="3"/>
    </row>
    <row r="28" spans="1:41">
      <c r="A28" s="119">
        <v>1982</v>
      </c>
      <c r="B28" s="129">
        <v>0.16898280245444378</v>
      </c>
      <c r="C28" s="152"/>
      <c r="D28" s="147"/>
      <c r="H28" s="63">
        <f t="shared" si="26"/>
        <v>2003</v>
      </c>
      <c r="I28" s="63">
        <f t="shared" si="0"/>
        <v>0</v>
      </c>
      <c r="J28" s="65">
        <v>0.8337531816631244</v>
      </c>
      <c r="K28" s="66">
        <f t="shared" si="1"/>
        <v>0</v>
      </c>
      <c r="L28" s="228">
        <f t="shared" si="13"/>
        <v>0</v>
      </c>
      <c r="M28" s="228">
        <f t="shared" si="14"/>
        <v>0</v>
      </c>
      <c r="N28" s="227">
        <f t="shared" si="2"/>
        <v>0</v>
      </c>
      <c r="O28" s="67">
        <v>0.04</v>
      </c>
      <c r="P28" s="66">
        <f t="shared" si="3"/>
        <v>0</v>
      </c>
      <c r="Q28" s="227">
        <f t="shared" si="15"/>
        <v>0</v>
      </c>
      <c r="R28" s="66">
        <f t="shared" si="16"/>
        <v>0</v>
      </c>
      <c r="S28" s="66">
        <f t="shared" si="4"/>
        <v>0</v>
      </c>
      <c r="T28" s="65">
        <f t="shared" si="17"/>
        <v>0</v>
      </c>
      <c r="U28" s="65">
        <f t="shared" si="18"/>
        <v>0</v>
      </c>
      <c r="V28" s="65">
        <f t="shared" si="5"/>
        <v>0</v>
      </c>
      <c r="W28" s="68">
        <f t="shared" si="6"/>
        <v>0</v>
      </c>
      <c r="X28" s="3"/>
      <c r="Y28" s="78">
        <f t="shared" si="27"/>
        <v>2003</v>
      </c>
      <c r="Z28" s="78">
        <f t="shared" si="19"/>
        <v>0</v>
      </c>
      <c r="AA28" s="80">
        <v>0.8337531816631244</v>
      </c>
      <c r="AB28" s="81">
        <f t="shared" si="7"/>
        <v>0</v>
      </c>
      <c r="AC28" s="78">
        <f t="shared" si="8"/>
        <v>0</v>
      </c>
      <c r="AD28" s="78">
        <f t="shared" si="20"/>
        <v>0</v>
      </c>
      <c r="AE28" s="78">
        <f t="shared" si="28"/>
        <v>0</v>
      </c>
      <c r="AF28" s="82">
        <v>0.04</v>
      </c>
      <c r="AG28" s="81">
        <f t="shared" si="10"/>
        <v>0</v>
      </c>
      <c r="AH28" s="78">
        <f t="shared" si="11"/>
        <v>0</v>
      </c>
      <c r="AI28" s="81">
        <f t="shared" si="21"/>
        <v>0</v>
      </c>
      <c r="AJ28" s="81">
        <f t="shared" si="12"/>
        <v>0</v>
      </c>
      <c r="AK28" s="80">
        <f t="shared" si="22"/>
        <v>0</v>
      </c>
      <c r="AL28" s="80">
        <f t="shared" si="23"/>
        <v>0</v>
      </c>
      <c r="AM28" s="80">
        <f t="shared" si="24"/>
        <v>0</v>
      </c>
      <c r="AN28" s="83">
        <f t="shared" si="25"/>
        <v>0</v>
      </c>
      <c r="AO28" s="3"/>
    </row>
    <row r="29" spans="1:41">
      <c r="A29" s="119">
        <v>1983</v>
      </c>
      <c r="B29" s="129">
        <v>0.15814623125018631</v>
      </c>
      <c r="C29" s="152"/>
      <c r="D29" s="147"/>
      <c r="H29" s="63">
        <f t="shared" si="26"/>
        <v>2004</v>
      </c>
      <c r="I29" s="63">
        <f t="shared" si="0"/>
        <v>0</v>
      </c>
      <c r="J29" s="65">
        <v>0.16138160483669003</v>
      </c>
      <c r="K29" s="66">
        <f t="shared" si="1"/>
        <v>0</v>
      </c>
      <c r="L29" s="228">
        <f t="shared" si="13"/>
        <v>0</v>
      </c>
      <c r="M29" s="228">
        <f t="shared" si="14"/>
        <v>0</v>
      </c>
      <c r="N29" s="227">
        <f t="shared" si="2"/>
        <v>0</v>
      </c>
      <c r="O29" s="67">
        <v>5.2499999999999998E-2</v>
      </c>
      <c r="P29" s="66">
        <f t="shared" si="3"/>
        <v>0</v>
      </c>
      <c r="Q29" s="227">
        <f t="shared" si="15"/>
        <v>0</v>
      </c>
      <c r="R29" s="66">
        <f t="shared" si="16"/>
        <v>0</v>
      </c>
      <c r="S29" s="66">
        <f t="shared" si="4"/>
        <v>0</v>
      </c>
      <c r="T29" s="65">
        <f t="shared" si="17"/>
        <v>0</v>
      </c>
      <c r="U29" s="65">
        <f t="shared" si="18"/>
        <v>0</v>
      </c>
      <c r="V29" s="65">
        <f t="shared" si="5"/>
        <v>0</v>
      </c>
      <c r="W29" s="68">
        <f t="shared" si="6"/>
        <v>0</v>
      </c>
      <c r="X29" s="3"/>
      <c r="Y29" s="78">
        <f t="shared" si="27"/>
        <v>2004</v>
      </c>
      <c r="Z29" s="78">
        <f t="shared" si="19"/>
        <v>0</v>
      </c>
      <c r="AA29" s="80">
        <v>0.16138160483669003</v>
      </c>
      <c r="AB29" s="81">
        <f t="shared" si="7"/>
        <v>0</v>
      </c>
      <c r="AC29" s="78">
        <f t="shared" si="8"/>
        <v>0</v>
      </c>
      <c r="AD29" s="78">
        <f t="shared" si="20"/>
        <v>0</v>
      </c>
      <c r="AE29" s="78">
        <f t="shared" si="28"/>
        <v>0</v>
      </c>
      <c r="AF29" s="82">
        <v>5.2499999999999998E-2</v>
      </c>
      <c r="AG29" s="81">
        <f t="shared" si="10"/>
        <v>0</v>
      </c>
      <c r="AH29" s="78">
        <f t="shared" si="11"/>
        <v>0</v>
      </c>
      <c r="AI29" s="81">
        <f t="shared" si="21"/>
        <v>0</v>
      </c>
      <c r="AJ29" s="81">
        <f t="shared" si="12"/>
        <v>0</v>
      </c>
      <c r="AK29" s="80">
        <f t="shared" si="22"/>
        <v>0</v>
      </c>
      <c r="AL29" s="80">
        <f t="shared" si="23"/>
        <v>0</v>
      </c>
      <c r="AM29" s="80">
        <f t="shared" si="24"/>
        <v>0</v>
      </c>
      <c r="AN29" s="83">
        <f t="shared" si="25"/>
        <v>0</v>
      </c>
      <c r="AO29" s="3"/>
    </row>
    <row r="30" spans="1:41">
      <c r="A30" s="119">
        <v>1984</v>
      </c>
      <c r="B30" s="129">
        <v>0.19836173589813128</v>
      </c>
      <c r="C30" s="152"/>
      <c r="D30" s="147"/>
      <c r="H30" s="63">
        <f t="shared" si="26"/>
        <v>2005</v>
      </c>
      <c r="I30" s="63">
        <f t="shared" si="0"/>
        <v>0</v>
      </c>
      <c r="J30" s="65">
        <v>0.737303667743754</v>
      </c>
      <c r="K30" s="66">
        <f t="shared" si="1"/>
        <v>0</v>
      </c>
      <c r="L30" s="228">
        <f t="shared" si="13"/>
        <v>0</v>
      </c>
      <c r="M30" s="228">
        <f t="shared" si="14"/>
        <v>0</v>
      </c>
      <c r="N30" s="227">
        <f t="shared" si="2"/>
        <v>0</v>
      </c>
      <c r="O30" s="67">
        <v>0.06</v>
      </c>
      <c r="P30" s="66">
        <f t="shared" si="3"/>
        <v>0</v>
      </c>
      <c r="Q30" s="227">
        <f t="shared" si="15"/>
        <v>0</v>
      </c>
      <c r="R30" s="66">
        <f t="shared" si="16"/>
        <v>0</v>
      </c>
      <c r="S30" s="66">
        <f t="shared" si="4"/>
        <v>0</v>
      </c>
      <c r="T30" s="65">
        <f t="shared" si="17"/>
        <v>0</v>
      </c>
      <c r="U30" s="65">
        <f t="shared" si="18"/>
        <v>0</v>
      </c>
      <c r="V30" s="65">
        <f t="shared" si="5"/>
        <v>0</v>
      </c>
      <c r="W30" s="68">
        <f t="shared" si="6"/>
        <v>0</v>
      </c>
      <c r="X30" s="3"/>
      <c r="Y30" s="78">
        <f t="shared" si="27"/>
        <v>2005</v>
      </c>
      <c r="Z30" s="78">
        <f t="shared" si="19"/>
        <v>0</v>
      </c>
      <c r="AA30" s="80">
        <v>0.737303667743754</v>
      </c>
      <c r="AB30" s="81">
        <f t="shared" si="7"/>
        <v>0</v>
      </c>
      <c r="AC30" s="78">
        <f t="shared" si="8"/>
        <v>0</v>
      </c>
      <c r="AD30" s="78">
        <f t="shared" si="20"/>
        <v>0</v>
      </c>
      <c r="AE30" s="78">
        <f t="shared" si="28"/>
        <v>0</v>
      </c>
      <c r="AF30" s="82">
        <v>0.06</v>
      </c>
      <c r="AG30" s="81">
        <f t="shared" si="10"/>
        <v>0</v>
      </c>
      <c r="AH30" s="78">
        <f t="shared" si="11"/>
        <v>0</v>
      </c>
      <c r="AI30" s="81">
        <f t="shared" si="21"/>
        <v>0</v>
      </c>
      <c r="AJ30" s="81">
        <f t="shared" si="12"/>
        <v>0</v>
      </c>
      <c r="AK30" s="80">
        <f t="shared" si="22"/>
        <v>0</v>
      </c>
      <c r="AL30" s="80">
        <f t="shared" si="23"/>
        <v>0</v>
      </c>
      <c r="AM30" s="80">
        <f t="shared" si="24"/>
        <v>0</v>
      </c>
      <c r="AN30" s="83">
        <f t="shared" si="25"/>
        <v>0</v>
      </c>
      <c r="AO30" s="3"/>
    </row>
    <row r="31" spans="1:41">
      <c r="A31" s="119">
        <v>1985</v>
      </c>
      <c r="B31" s="129">
        <v>0.16774350294017182</v>
      </c>
      <c r="C31" s="152"/>
      <c r="D31" s="147"/>
      <c r="H31" s="63">
        <f t="shared" si="26"/>
        <v>2006</v>
      </c>
      <c r="I31" s="63">
        <f t="shared" si="0"/>
        <v>0</v>
      </c>
      <c r="J31" s="65">
        <v>0.15887411347517733</v>
      </c>
      <c r="K31" s="66">
        <f t="shared" si="1"/>
        <v>0</v>
      </c>
      <c r="L31" s="228">
        <f t="shared" si="13"/>
        <v>0</v>
      </c>
      <c r="M31" s="228">
        <f t="shared" si="14"/>
        <v>0</v>
      </c>
      <c r="N31" s="227">
        <f t="shared" si="2"/>
        <v>0</v>
      </c>
      <c r="O31" s="67">
        <v>6.25E-2</v>
      </c>
      <c r="P31" s="66">
        <f t="shared" si="3"/>
        <v>0</v>
      </c>
      <c r="Q31" s="227">
        <f t="shared" si="15"/>
        <v>0</v>
      </c>
      <c r="R31" s="66">
        <f t="shared" si="16"/>
        <v>0</v>
      </c>
      <c r="S31" s="66">
        <f t="shared" si="4"/>
        <v>0</v>
      </c>
      <c r="T31" s="65">
        <f t="shared" si="17"/>
        <v>0</v>
      </c>
      <c r="U31" s="65">
        <f t="shared" si="18"/>
        <v>0</v>
      </c>
      <c r="V31" s="65">
        <f t="shared" si="5"/>
        <v>0</v>
      </c>
      <c r="W31" s="68">
        <f t="shared" si="6"/>
        <v>0</v>
      </c>
      <c r="X31" s="3"/>
      <c r="Y31" s="78">
        <f t="shared" si="27"/>
        <v>2006</v>
      </c>
      <c r="Z31" s="78">
        <f t="shared" si="19"/>
        <v>0</v>
      </c>
      <c r="AA31" s="80">
        <v>0.15887411347517733</v>
      </c>
      <c r="AB31" s="81">
        <f t="shared" si="7"/>
        <v>0</v>
      </c>
      <c r="AC31" s="78">
        <f t="shared" si="8"/>
        <v>0</v>
      </c>
      <c r="AD31" s="78">
        <f t="shared" si="20"/>
        <v>0</v>
      </c>
      <c r="AE31" s="78">
        <f t="shared" si="28"/>
        <v>0</v>
      </c>
      <c r="AF31" s="82">
        <v>6.25E-2</v>
      </c>
      <c r="AG31" s="81">
        <f t="shared" si="10"/>
        <v>0</v>
      </c>
      <c r="AH31" s="78">
        <f t="shared" si="11"/>
        <v>0</v>
      </c>
      <c r="AI31" s="81">
        <f t="shared" si="21"/>
        <v>0</v>
      </c>
      <c r="AJ31" s="81">
        <f t="shared" si="12"/>
        <v>0</v>
      </c>
      <c r="AK31" s="80">
        <f t="shared" si="22"/>
        <v>0</v>
      </c>
      <c r="AL31" s="80">
        <f t="shared" si="23"/>
        <v>0</v>
      </c>
      <c r="AM31" s="80">
        <f t="shared" si="24"/>
        <v>0</v>
      </c>
      <c r="AN31" s="83">
        <f t="shared" si="25"/>
        <v>0</v>
      </c>
      <c r="AO31" s="3"/>
    </row>
    <row r="32" spans="1:41">
      <c r="A32" s="119">
        <v>1986</v>
      </c>
      <c r="B32" s="129">
        <v>0.23356791040514169</v>
      </c>
      <c r="C32" s="152"/>
      <c r="D32" s="147"/>
      <c r="H32" s="63">
        <f t="shared" si="26"/>
        <v>2007</v>
      </c>
      <c r="I32" s="63">
        <f t="shared" si="0"/>
        <v>0</v>
      </c>
      <c r="J32" s="65">
        <v>0.19677787042632777</v>
      </c>
      <c r="K32" s="66">
        <f t="shared" si="1"/>
        <v>0</v>
      </c>
      <c r="L32" s="228">
        <f t="shared" si="13"/>
        <v>0</v>
      </c>
      <c r="M32" s="228">
        <f t="shared" si="14"/>
        <v>0</v>
      </c>
      <c r="N32" s="227">
        <f t="shared" si="2"/>
        <v>0</v>
      </c>
      <c r="O32" s="69">
        <v>7.0000000000000007E-2</v>
      </c>
      <c r="P32" s="66">
        <f t="shared" si="3"/>
        <v>0</v>
      </c>
      <c r="Q32" s="227">
        <f t="shared" si="15"/>
        <v>0</v>
      </c>
      <c r="R32" s="66">
        <f t="shared" si="16"/>
        <v>0</v>
      </c>
      <c r="S32" s="66">
        <f t="shared" si="4"/>
        <v>0</v>
      </c>
      <c r="T32" s="65">
        <f t="shared" si="17"/>
        <v>0</v>
      </c>
      <c r="U32" s="65">
        <f t="shared" si="18"/>
        <v>0</v>
      </c>
      <c r="V32" s="65">
        <f t="shared" si="5"/>
        <v>0</v>
      </c>
      <c r="W32" s="68">
        <f t="shared" si="6"/>
        <v>0</v>
      </c>
      <c r="X32" s="3"/>
      <c r="Y32" s="78">
        <f t="shared" si="27"/>
        <v>2007</v>
      </c>
      <c r="Z32" s="78">
        <f t="shared" si="19"/>
        <v>0</v>
      </c>
      <c r="AA32" s="80">
        <v>0.19677787042632777</v>
      </c>
      <c r="AB32" s="81">
        <f t="shared" si="7"/>
        <v>0</v>
      </c>
      <c r="AC32" s="78">
        <f t="shared" si="8"/>
        <v>0</v>
      </c>
      <c r="AD32" s="78">
        <f t="shared" si="20"/>
        <v>0</v>
      </c>
      <c r="AE32" s="78">
        <f t="shared" si="28"/>
        <v>0</v>
      </c>
      <c r="AF32" s="84">
        <v>7.0000000000000007E-2</v>
      </c>
      <c r="AG32" s="81">
        <f t="shared" si="10"/>
        <v>0</v>
      </c>
      <c r="AH32" s="78">
        <f t="shared" si="11"/>
        <v>0</v>
      </c>
      <c r="AI32" s="81">
        <f t="shared" si="21"/>
        <v>0</v>
      </c>
      <c r="AJ32" s="81">
        <f t="shared" si="12"/>
        <v>0</v>
      </c>
      <c r="AK32" s="80">
        <f t="shared" si="22"/>
        <v>0</v>
      </c>
      <c r="AL32" s="80">
        <f t="shared" si="23"/>
        <v>0</v>
      </c>
      <c r="AM32" s="80">
        <f t="shared" si="24"/>
        <v>0</v>
      </c>
      <c r="AN32" s="83">
        <f t="shared" si="25"/>
        <v>0</v>
      </c>
      <c r="AO32" s="3"/>
    </row>
    <row r="33" spans="1:41">
      <c r="A33" s="119">
        <v>1987</v>
      </c>
      <c r="B33" s="129">
        <v>0.2091251719766902</v>
      </c>
      <c r="C33" s="152"/>
      <c r="D33" s="147"/>
      <c r="H33" s="63">
        <f t="shared" si="26"/>
        <v>2008</v>
      </c>
      <c r="I33" s="63">
        <f t="shared" si="0"/>
        <v>0</v>
      </c>
      <c r="J33" s="65">
        <v>-0.37942650405256834</v>
      </c>
      <c r="K33" s="66">
        <f t="shared" si="1"/>
        <v>0</v>
      </c>
      <c r="L33" s="228">
        <f t="shared" si="13"/>
        <v>0</v>
      </c>
      <c r="M33" s="228">
        <f t="shared" si="14"/>
        <v>0</v>
      </c>
      <c r="N33" s="227">
        <f t="shared" si="2"/>
        <v>0</v>
      </c>
      <c r="O33" s="69">
        <v>0.08</v>
      </c>
      <c r="P33" s="66">
        <f t="shared" si="3"/>
        <v>0</v>
      </c>
      <c r="Q33" s="227">
        <f t="shared" si="15"/>
        <v>0</v>
      </c>
      <c r="R33" s="66">
        <f t="shared" si="16"/>
        <v>0</v>
      </c>
      <c r="S33" s="66">
        <f t="shared" si="4"/>
        <v>0</v>
      </c>
      <c r="T33" s="65">
        <f t="shared" si="17"/>
        <v>0</v>
      </c>
      <c r="U33" s="65">
        <f t="shared" si="18"/>
        <v>0</v>
      </c>
      <c r="V33" s="65">
        <f t="shared" si="5"/>
        <v>0</v>
      </c>
      <c r="W33" s="68">
        <f t="shared" si="6"/>
        <v>0</v>
      </c>
      <c r="X33" s="3"/>
      <c r="Y33" s="78">
        <f t="shared" si="27"/>
        <v>2008</v>
      </c>
      <c r="Z33" s="78">
        <f t="shared" si="19"/>
        <v>0</v>
      </c>
      <c r="AA33" s="80">
        <v>-0.37942650405256834</v>
      </c>
      <c r="AB33" s="81">
        <f t="shared" si="7"/>
        <v>0</v>
      </c>
      <c r="AC33" s="78">
        <f t="shared" si="8"/>
        <v>0</v>
      </c>
      <c r="AD33" s="78">
        <f t="shared" si="20"/>
        <v>0</v>
      </c>
      <c r="AE33" s="78">
        <f t="shared" si="28"/>
        <v>0</v>
      </c>
      <c r="AF33" s="84">
        <v>0.08</v>
      </c>
      <c r="AG33" s="81">
        <f t="shared" si="10"/>
        <v>0</v>
      </c>
      <c r="AH33" s="78">
        <f t="shared" si="11"/>
        <v>0</v>
      </c>
      <c r="AI33" s="81">
        <f t="shared" si="21"/>
        <v>0</v>
      </c>
      <c r="AJ33" s="81">
        <f t="shared" si="12"/>
        <v>0</v>
      </c>
      <c r="AK33" s="80">
        <f t="shared" si="22"/>
        <v>0</v>
      </c>
      <c r="AL33" s="80">
        <f t="shared" si="23"/>
        <v>0</v>
      </c>
      <c r="AM33" s="80">
        <f t="shared" si="24"/>
        <v>0</v>
      </c>
      <c r="AN33" s="83">
        <f t="shared" si="25"/>
        <v>0</v>
      </c>
      <c r="AO33" s="3"/>
    </row>
    <row r="34" spans="1:41">
      <c r="A34" s="119">
        <v>1988</v>
      </c>
      <c r="B34" s="129">
        <v>0.1732216228652744</v>
      </c>
      <c r="C34" s="152"/>
      <c r="D34" s="147"/>
      <c r="H34" s="63">
        <f t="shared" si="26"/>
        <v>2009</v>
      </c>
      <c r="I34" s="63">
        <f t="shared" si="0"/>
        <v>0</v>
      </c>
      <c r="J34" s="65">
        <v>0.80532523046814641</v>
      </c>
      <c r="K34" s="66">
        <f t="shared" si="1"/>
        <v>0</v>
      </c>
      <c r="L34" s="228">
        <f t="shared" si="13"/>
        <v>0</v>
      </c>
      <c r="M34" s="228">
        <f t="shared" si="14"/>
        <v>0</v>
      </c>
      <c r="N34" s="227">
        <f t="shared" si="2"/>
        <v>0</v>
      </c>
      <c r="O34" s="69">
        <v>0.09</v>
      </c>
      <c r="P34" s="66">
        <f t="shared" si="3"/>
        <v>0</v>
      </c>
      <c r="Q34" s="227">
        <f t="shared" si="15"/>
        <v>0</v>
      </c>
      <c r="R34" s="66">
        <f t="shared" si="16"/>
        <v>0</v>
      </c>
      <c r="S34" s="66">
        <f t="shared" si="4"/>
        <v>0</v>
      </c>
      <c r="T34" s="65">
        <f t="shared" si="17"/>
        <v>0</v>
      </c>
      <c r="U34" s="65">
        <f t="shared" si="18"/>
        <v>0</v>
      </c>
      <c r="V34" s="65">
        <f t="shared" si="5"/>
        <v>0</v>
      </c>
      <c r="W34" s="68">
        <f t="shared" si="6"/>
        <v>0</v>
      </c>
      <c r="X34" s="3"/>
      <c r="Y34" s="78">
        <f t="shared" si="27"/>
        <v>2009</v>
      </c>
      <c r="Z34" s="78">
        <f t="shared" si="19"/>
        <v>0</v>
      </c>
      <c r="AA34" s="80">
        <v>0.80532523046814641</v>
      </c>
      <c r="AB34" s="81">
        <f t="shared" si="7"/>
        <v>0</v>
      </c>
      <c r="AC34" s="78">
        <f t="shared" si="8"/>
        <v>0</v>
      </c>
      <c r="AD34" s="78">
        <f t="shared" si="20"/>
        <v>0</v>
      </c>
      <c r="AE34" s="78">
        <f t="shared" si="28"/>
        <v>0</v>
      </c>
      <c r="AF34" s="84">
        <v>0.09</v>
      </c>
      <c r="AG34" s="81">
        <f t="shared" si="10"/>
        <v>0</v>
      </c>
      <c r="AH34" s="78">
        <f t="shared" si="11"/>
        <v>0</v>
      </c>
      <c r="AI34" s="81">
        <f t="shared" si="21"/>
        <v>0</v>
      </c>
      <c r="AJ34" s="81">
        <f t="shared" si="12"/>
        <v>0</v>
      </c>
      <c r="AK34" s="80">
        <f t="shared" si="22"/>
        <v>0</v>
      </c>
      <c r="AL34" s="80">
        <f t="shared" si="23"/>
        <v>0</v>
      </c>
      <c r="AM34" s="80">
        <f t="shared" si="24"/>
        <v>0</v>
      </c>
      <c r="AN34" s="83">
        <f t="shared" si="25"/>
        <v>0</v>
      </c>
      <c r="AO34" s="3"/>
    </row>
    <row r="35" spans="1:41">
      <c r="A35" s="119">
        <v>1989</v>
      </c>
      <c r="B35" s="129">
        <v>0.18645511262710007</v>
      </c>
      <c r="C35" s="152"/>
      <c r="D35" s="147"/>
      <c r="H35" s="63">
        <f t="shared" si="26"/>
        <v>2010</v>
      </c>
      <c r="I35" s="63">
        <f t="shared" si="0"/>
        <v>0</v>
      </c>
      <c r="J35" s="65">
        <v>0.10943116334797741</v>
      </c>
      <c r="K35" s="66">
        <f t="shared" si="1"/>
        <v>0</v>
      </c>
      <c r="L35" s="228">
        <f t="shared" si="13"/>
        <v>0</v>
      </c>
      <c r="M35" s="228">
        <f t="shared" si="14"/>
        <v>0</v>
      </c>
      <c r="N35" s="227">
        <f t="shared" si="2"/>
        <v>0</v>
      </c>
      <c r="O35" s="69">
        <v>0.1</v>
      </c>
      <c r="P35" s="66">
        <f t="shared" si="3"/>
        <v>0</v>
      </c>
      <c r="Q35" s="227">
        <f t="shared" si="15"/>
        <v>0</v>
      </c>
      <c r="R35" s="66">
        <f t="shared" si="16"/>
        <v>0</v>
      </c>
      <c r="S35" s="66">
        <f t="shared" si="4"/>
        <v>0</v>
      </c>
      <c r="T35" s="65">
        <f t="shared" si="17"/>
        <v>0</v>
      </c>
      <c r="U35" s="65">
        <f t="shared" si="18"/>
        <v>0</v>
      </c>
      <c r="V35" s="65">
        <f t="shared" si="5"/>
        <v>0</v>
      </c>
      <c r="W35" s="68">
        <f t="shared" si="6"/>
        <v>0</v>
      </c>
      <c r="X35" s="3"/>
      <c r="Y35" s="78">
        <f t="shared" si="27"/>
        <v>2010</v>
      </c>
      <c r="Z35" s="78">
        <f t="shared" si="19"/>
        <v>0</v>
      </c>
      <c r="AA35" s="80">
        <v>0.10943116334797741</v>
      </c>
      <c r="AB35" s="81">
        <f t="shared" si="7"/>
        <v>0</v>
      </c>
      <c r="AC35" s="78">
        <f t="shared" si="8"/>
        <v>0</v>
      </c>
      <c r="AD35" s="78">
        <f t="shared" si="20"/>
        <v>0</v>
      </c>
      <c r="AE35" s="78">
        <f t="shared" si="28"/>
        <v>0</v>
      </c>
      <c r="AF35" s="84">
        <v>0.1</v>
      </c>
      <c r="AG35" s="81">
        <f t="shared" si="10"/>
        <v>0</v>
      </c>
      <c r="AH35" s="78">
        <f t="shared" si="11"/>
        <v>0</v>
      </c>
      <c r="AI35" s="81">
        <f t="shared" si="21"/>
        <v>0</v>
      </c>
      <c r="AJ35" s="81">
        <f t="shared" si="12"/>
        <v>0</v>
      </c>
      <c r="AK35" s="80">
        <f t="shared" si="22"/>
        <v>0</v>
      </c>
      <c r="AL35" s="80">
        <f t="shared" si="23"/>
        <v>0</v>
      </c>
      <c r="AM35" s="80">
        <f t="shared" si="24"/>
        <v>0</v>
      </c>
      <c r="AN35" s="83">
        <f t="shared" si="25"/>
        <v>0</v>
      </c>
      <c r="AO35" s="3"/>
    </row>
    <row r="36" spans="1:41">
      <c r="A36" s="119">
        <v>1990</v>
      </c>
      <c r="B36" s="129">
        <v>0.14918368023234435</v>
      </c>
      <c r="C36" s="152"/>
      <c r="D36" s="147"/>
      <c r="H36" s="63">
        <f t="shared" si="26"/>
        <v>2011</v>
      </c>
      <c r="I36" s="63">
        <f t="shared" si="0"/>
        <v>0</v>
      </c>
      <c r="J36" s="65">
        <v>-0.10495242993057337</v>
      </c>
      <c r="K36" s="66">
        <f t="shared" si="1"/>
        <v>0</v>
      </c>
      <c r="L36" s="228">
        <f t="shared" si="13"/>
        <v>0</v>
      </c>
      <c r="M36" s="228">
        <f t="shared" si="14"/>
        <v>0</v>
      </c>
      <c r="N36" s="227">
        <f t="shared" si="2"/>
        <v>0</v>
      </c>
      <c r="O36" s="69">
        <v>0.11</v>
      </c>
      <c r="P36" s="66">
        <f t="shared" si="3"/>
        <v>0</v>
      </c>
      <c r="Q36" s="227">
        <f t="shared" si="15"/>
        <v>0</v>
      </c>
      <c r="R36" s="66">
        <f t="shared" si="16"/>
        <v>0</v>
      </c>
      <c r="S36" s="66">
        <f t="shared" si="4"/>
        <v>0</v>
      </c>
      <c r="T36" s="65">
        <f t="shared" si="17"/>
        <v>0</v>
      </c>
      <c r="U36" s="65">
        <f t="shared" si="18"/>
        <v>0</v>
      </c>
      <c r="V36" s="65">
        <f t="shared" si="5"/>
        <v>0</v>
      </c>
      <c r="W36" s="68">
        <f t="shared" si="6"/>
        <v>0</v>
      </c>
      <c r="X36" s="3"/>
      <c r="Y36" s="78">
        <f t="shared" si="27"/>
        <v>2011</v>
      </c>
      <c r="Z36" s="78">
        <f t="shared" si="19"/>
        <v>0</v>
      </c>
      <c r="AA36" s="80">
        <v>-0.10495242993057337</v>
      </c>
      <c r="AB36" s="81">
        <f t="shared" si="7"/>
        <v>0</v>
      </c>
      <c r="AC36" s="78">
        <f t="shared" si="8"/>
        <v>0</v>
      </c>
      <c r="AD36" s="78">
        <f t="shared" si="20"/>
        <v>0</v>
      </c>
      <c r="AE36" s="78">
        <f t="shared" si="28"/>
        <v>0</v>
      </c>
      <c r="AF36" s="84">
        <v>0.11</v>
      </c>
      <c r="AG36" s="81">
        <f t="shared" si="10"/>
        <v>0</v>
      </c>
      <c r="AH36" s="78">
        <f t="shared" si="11"/>
        <v>0</v>
      </c>
      <c r="AI36" s="81">
        <f t="shared" si="21"/>
        <v>0</v>
      </c>
      <c r="AJ36" s="81">
        <f t="shared" si="12"/>
        <v>0</v>
      </c>
      <c r="AK36" s="80">
        <f t="shared" si="22"/>
        <v>0</v>
      </c>
      <c r="AL36" s="80">
        <f t="shared" si="23"/>
        <v>0</v>
      </c>
      <c r="AM36" s="80">
        <f t="shared" si="24"/>
        <v>0</v>
      </c>
      <c r="AN36" s="83">
        <f t="shared" si="25"/>
        <v>0</v>
      </c>
      <c r="AO36" s="3"/>
    </row>
    <row r="37" spans="1:41">
      <c r="A37" s="119">
        <v>1991</v>
      </c>
      <c r="B37" s="129">
        <v>9.7853676586866195E-2</v>
      </c>
      <c r="C37" s="152"/>
      <c r="D37" s="147"/>
      <c r="H37" t="s">
        <v>16</v>
      </c>
      <c r="K37" s="3"/>
      <c r="P37" s="3"/>
      <c r="Q37" s="3"/>
      <c r="R37" s="3"/>
      <c r="S37" s="3"/>
      <c r="T37" s="3"/>
      <c r="U37" s="3"/>
      <c r="V37" s="3"/>
      <c r="W37" s="3"/>
      <c r="X37" s="3"/>
      <c r="Y37" s="25"/>
      <c r="Z37" s="25"/>
      <c r="AA37" s="26"/>
      <c r="AB37" s="25"/>
      <c r="AC37" s="25"/>
      <c r="AD37" s="27"/>
      <c r="AE37" s="25"/>
      <c r="AF37" s="26"/>
      <c r="AG37" s="25"/>
      <c r="AH37" s="25"/>
      <c r="AI37" s="25"/>
      <c r="AJ37" s="25"/>
      <c r="AK37" s="25"/>
      <c r="AL37" s="25"/>
      <c r="AM37" s="28"/>
      <c r="AN37" s="28"/>
      <c r="AO37" s="3"/>
    </row>
    <row r="38" spans="1:41">
      <c r="A38" s="119">
        <v>1992</v>
      </c>
      <c r="B38" s="129">
        <v>4.874316573627048E-2</v>
      </c>
      <c r="C38" s="152"/>
      <c r="D38" s="147"/>
      <c r="H38" t="s">
        <v>17</v>
      </c>
      <c r="J38" s="1"/>
      <c r="K38" s="1"/>
    </row>
    <row r="39" spans="1:41">
      <c r="A39" s="119">
        <v>1993</v>
      </c>
      <c r="B39" s="129">
        <v>1.4818852702242905E-2</v>
      </c>
      <c r="C39" s="152"/>
      <c r="D39" s="147"/>
      <c r="J39" s="1"/>
      <c r="K39" s="1"/>
    </row>
    <row r="40" spans="1:41">
      <c r="A40" s="119">
        <v>1994</v>
      </c>
      <c r="B40" s="129">
        <v>0.11125187491674095</v>
      </c>
      <c r="C40" s="152"/>
      <c r="D40" s="147"/>
      <c r="J40" s="1"/>
      <c r="K40" s="1"/>
    </row>
    <row r="41" spans="1:41">
      <c r="A41" s="119">
        <v>1995</v>
      </c>
      <c r="B41" s="129">
        <v>7.4583417708813243E-2</v>
      </c>
      <c r="C41" s="152"/>
      <c r="D41" s="147"/>
    </row>
    <row r="42" spans="1:41">
      <c r="A42" s="119">
        <v>1996</v>
      </c>
      <c r="B42" s="129">
        <v>6.2107760473172367E-2</v>
      </c>
      <c r="C42" s="152"/>
      <c r="D42" s="147"/>
    </row>
    <row r="43" spans="1:41">
      <c r="A43" s="119">
        <v>1997</v>
      </c>
      <c r="B43" s="129">
        <v>9.167977391123848E-2</v>
      </c>
      <c r="C43" s="152"/>
      <c r="D43" s="147"/>
    </row>
    <row r="44" spans="1:41">
      <c r="A44" s="118"/>
      <c r="B44" s="165"/>
      <c r="C44" s="152"/>
      <c r="D44" s="147"/>
      <c r="E44" s="1"/>
      <c r="F44" s="1"/>
    </row>
    <row r="45" spans="1:41">
      <c r="A45" s="118"/>
      <c r="B45" s="165"/>
      <c r="C45" s="153"/>
      <c r="D45" s="121"/>
      <c r="E45" s="26"/>
      <c r="F45" s="26"/>
      <c r="G45" s="27"/>
      <c r="H45" s="27"/>
      <c r="I45" s="27"/>
      <c r="J45" s="27"/>
      <c r="K45" s="27"/>
      <c r="L45" s="27"/>
      <c r="M45" s="27"/>
      <c r="N45" s="27"/>
      <c r="O45" s="27"/>
    </row>
    <row r="46" spans="1:41">
      <c r="A46" s="118"/>
      <c r="B46" s="165"/>
      <c r="C46" s="153"/>
      <c r="D46" s="12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41">
      <c r="A47" s="118"/>
      <c r="B47" s="165"/>
      <c r="C47" s="153"/>
      <c r="D47" s="12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41">
      <c r="A48" s="118"/>
      <c r="B48" s="165"/>
      <c r="C48" s="153"/>
      <c r="D48" s="121"/>
      <c r="E48" s="27"/>
      <c r="F48" s="27"/>
      <c r="G48" s="27"/>
      <c r="H48" s="40"/>
      <c r="I48" s="27"/>
      <c r="J48" s="27"/>
      <c r="K48" s="27"/>
      <c r="L48" s="61"/>
      <c r="M48" s="27"/>
      <c r="N48" s="27"/>
      <c r="O48" s="27"/>
    </row>
    <row r="49" spans="1:15">
      <c r="A49" s="118"/>
      <c r="B49" s="165"/>
      <c r="C49" s="27"/>
      <c r="D49" s="27"/>
      <c r="E49" s="27"/>
      <c r="F49" s="27"/>
      <c r="G49" s="27"/>
      <c r="H49" s="42"/>
      <c r="I49" s="27"/>
      <c r="J49" s="27"/>
      <c r="K49" s="27"/>
      <c r="L49" s="27"/>
      <c r="M49" s="27"/>
      <c r="N49" s="27"/>
      <c r="O49" s="27"/>
    </row>
    <row r="50" spans="1:15">
      <c r="A50" s="118"/>
      <c r="B50" s="165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118"/>
      <c r="B51" s="165"/>
      <c r="C51" s="27"/>
      <c r="D51" s="27"/>
      <c r="E51" s="27"/>
      <c r="F51" s="27"/>
      <c r="G51" s="27"/>
      <c r="H51" s="27"/>
      <c r="I51" s="27"/>
      <c r="J51" s="26"/>
      <c r="K51" s="26"/>
      <c r="L51" s="27"/>
      <c r="M51" s="27"/>
      <c r="N51" s="27"/>
      <c r="O51" s="27"/>
    </row>
    <row r="52" spans="1:15">
      <c r="A52" s="118"/>
      <c r="B52" s="165"/>
      <c r="J52" s="1"/>
      <c r="K52" s="1"/>
    </row>
    <row r="53" spans="1:15">
      <c r="A53" s="119"/>
      <c r="B53" s="166"/>
      <c r="J53" s="1"/>
      <c r="K53" s="1"/>
    </row>
    <row r="54" spans="1:15">
      <c r="A54" s="119"/>
      <c r="B54" s="166"/>
      <c r="J54" s="1"/>
      <c r="K54" s="1"/>
    </row>
    <row r="55" spans="1:15">
      <c r="A55" s="119"/>
      <c r="B55" s="166"/>
    </row>
    <row r="56" spans="1:15">
      <c r="A56" s="119"/>
      <c r="B56" s="166"/>
    </row>
    <row r="57" spans="1:15">
      <c r="A57" s="119"/>
      <c r="B57" s="166"/>
    </row>
  </sheetData>
  <mergeCells count="12">
    <mergeCell ref="A20:C20"/>
    <mergeCell ref="A21:C21"/>
    <mergeCell ref="A18:C18"/>
    <mergeCell ref="H1:U1"/>
    <mergeCell ref="T2:W2"/>
    <mergeCell ref="T4:U4"/>
    <mergeCell ref="V4:W4"/>
    <mergeCell ref="Y1:AN1"/>
    <mergeCell ref="AK4:AL4"/>
    <mergeCell ref="AM4:AN4"/>
    <mergeCell ref="AK2:AN2"/>
    <mergeCell ref="A19:C19"/>
  </mergeCells>
  <conditionalFormatting sqref="Y5:AN36">
    <cfRule type="cellIs" dxfId="10" priority="5" operator="equal">
      <formula>0</formula>
    </cfRule>
  </conditionalFormatting>
  <conditionalFormatting sqref="K5:N36 P5:W36">
    <cfRule type="cellIs" dxfId="9" priority="4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57"/>
  <sheetViews>
    <sheetView workbookViewId="0">
      <selection activeCell="D2" sqref="D2"/>
    </sheetView>
  </sheetViews>
  <sheetFormatPr defaultRowHeight="14.4"/>
  <cols>
    <col min="1" max="1" width="18.33203125" customWidth="1"/>
    <col min="2" max="2" width="13" customWidth="1"/>
    <col min="3" max="3" width="11" bestFit="1" customWidth="1"/>
    <col min="4" max="4" width="12.109375" bestFit="1" customWidth="1"/>
    <col min="5" max="5" width="8" customWidth="1"/>
    <col min="6" max="6" width="5.77734375" customWidth="1"/>
    <col min="7" max="7" width="7.33203125" customWidth="1"/>
    <col min="8" max="8" width="7.88671875" customWidth="1"/>
    <col min="9" max="9" width="4.6640625" bestFit="1" customWidth="1"/>
    <col min="10" max="10" width="6.77734375" bestFit="1" customWidth="1"/>
    <col min="11" max="11" width="10.44140625" bestFit="1" customWidth="1"/>
    <col min="12" max="13" width="12" bestFit="1" customWidth="1"/>
    <col min="14" max="14" width="8.88671875" customWidth="1"/>
    <col min="16" max="16" width="10.44140625" bestFit="1" customWidth="1"/>
    <col min="17" max="17" width="11.33203125" bestFit="1" customWidth="1"/>
    <col min="18" max="18" width="10.109375" bestFit="1" customWidth="1"/>
    <col min="19" max="19" width="0" hidden="1" customWidth="1"/>
    <col min="29" max="29" width="10.109375" bestFit="1" customWidth="1"/>
    <col min="30" max="31" width="12" bestFit="1" customWidth="1"/>
    <col min="32" max="32" width="0" hidden="1" customWidth="1"/>
    <col min="34" max="34" width="10.44140625" bestFit="1" customWidth="1"/>
    <col min="35" max="35" width="12" bestFit="1" customWidth="1"/>
    <col min="36" max="36" width="10.109375" bestFit="1" customWidth="1"/>
    <col min="37" max="37" width="0" hidden="1" customWidth="1"/>
  </cols>
  <sheetData>
    <row r="1" spans="1:49" ht="15" thickBot="1">
      <c r="A1" s="2" t="s">
        <v>15</v>
      </c>
      <c r="H1" s="207" t="s">
        <v>32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9"/>
      <c r="U1" s="209"/>
      <c r="V1" s="74"/>
      <c r="W1" s="74"/>
      <c r="Y1" s="207" t="s">
        <v>33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W1" s="95" t="s">
        <v>110</v>
      </c>
    </row>
    <row r="2" spans="1:49">
      <c r="A2" s="4" t="s">
        <v>18</v>
      </c>
      <c r="B2" s="5"/>
      <c r="C2" s="5"/>
      <c r="D2" s="148">
        <v>10</v>
      </c>
      <c r="E2" s="5"/>
      <c r="F2" s="6"/>
      <c r="H2" s="75" t="s">
        <v>14</v>
      </c>
      <c r="I2" s="75" t="s">
        <v>0</v>
      </c>
      <c r="J2" s="75" t="s">
        <v>8</v>
      </c>
      <c r="K2" s="75" t="s">
        <v>2</v>
      </c>
      <c r="L2" s="75" t="s">
        <v>96</v>
      </c>
      <c r="M2" s="75" t="s">
        <v>37</v>
      </c>
      <c r="N2" s="63"/>
      <c r="O2" s="75" t="s">
        <v>21</v>
      </c>
      <c r="P2" s="75" t="s">
        <v>2</v>
      </c>
      <c r="Q2" s="75" t="s">
        <v>96</v>
      </c>
      <c r="R2" s="75" t="s">
        <v>100</v>
      </c>
      <c r="S2" s="75"/>
      <c r="T2" s="206" t="s">
        <v>101</v>
      </c>
      <c r="U2" s="206"/>
      <c r="V2" s="206"/>
      <c r="W2" s="206"/>
      <c r="Y2" s="77" t="s">
        <v>14</v>
      </c>
      <c r="Z2" s="77" t="s">
        <v>0</v>
      </c>
      <c r="AA2" s="77"/>
      <c r="AB2" s="77" t="s">
        <v>8</v>
      </c>
      <c r="AC2" s="77" t="s">
        <v>2</v>
      </c>
      <c r="AD2" s="77" t="s">
        <v>96</v>
      </c>
      <c r="AE2" s="77" t="s">
        <v>37</v>
      </c>
      <c r="AF2" s="78"/>
      <c r="AG2" s="77" t="s">
        <v>21</v>
      </c>
      <c r="AH2" s="77" t="s">
        <v>2</v>
      </c>
      <c r="AI2" s="77" t="s">
        <v>96</v>
      </c>
      <c r="AJ2" s="77" t="s">
        <v>100</v>
      </c>
      <c r="AK2" s="77"/>
      <c r="AL2" s="200" t="s">
        <v>101</v>
      </c>
      <c r="AM2" s="200"/>
      <c r="AN2" s="200"/>
      <c r="AO2" s="200"/>
      <c r="AW2" s="95">
        <v>1</v>
      </c>
    </row>
    <row r="3" spans="1:49">
      <c r="A3" s="7" t="s">
        <v>10</v>
      </c>
      <c r="B3" s="8"/>
      <c r="C3" s="8"/>
      <c r="D3" s="146">
        <v>1980</v>
      </c>
      <c r="E3" s="8" t="s">
        <v>11</v>
      </c>
      <c r="F3" s="155">
        <f>2011-time1+1</f>
        <v>2002</v>
      </c>
      <c r="H3" s="75" t="s">
        <v>13</v>
      </c>
      <c r="I3" s="63"/>
      <c r="J3" s="75" t="s">
        <v>13</v>
      </c>
      <c r="K3" s="75" t="s">
        <v>3</v>
      </c>
      <c r="L3" s="75" t="s">
        <v>97</v>
      </c>
      <c r="M3" s="75" t="s">
        <v>99</v>
      </c>
      <c r="N3" s="63"/>
      <c r="O3" s="75" t="s">
        <v>13</v>
      </c>
      <c r="P3" s="75" t="s">
        <v>3</v>
      </c>
      <c r="Q3" s="75" t="s">
        <v>97</v>
      </c>
      <c r="R3" s="72" t="s">
        <v>99</v>
      </c>
      <c r="S3" s="63"/>
      <c r="T3" s="75" t="s">
        <v>23</v>
      </c>
      <c r="U3" s="75" t="s">
        <v>24</v>
      </c>
      <c r="V3" s="75" t="s">
        <v>23</v>
      </c>
      <c r="W3" s="75" t="s">
        <v>24</v>
      </c>
      <c r="X3" s="2"/>
      <c r="Y3" s="78"/>
      <c r="Z3" s="78"/>
      <c r="AA3" s="78"/>
      <c r="AB3" s="77" t="s">
        <v>9</v>
      </c>
      <c r="AC3" s="77" t="s">
        <v>36</v>
      </c>
      <c r="AD3" s="77" t="s">
        <v>97</v>
      </c>
      <c r="AE3" s="77" t="s">
        <v>99</v>
      </c>
      <c r="AF3" s="78"/>
      <c r="AG3" s="77" t="s">
        <v>13</v>
      </c>
      <c r="AH3" s="77" t="s">
        <v>3</v>
      </c>
      <c r="AI3" s="77" t="s">
        <v>97</v>
      </c>
      <c r="AJ3" s="77" t="s">
        <v>99</v>
      </c>
      <c r="AK3" s="78"/>
      <c r="AL3" s="77" t="s">
        <v>23</v>
      </c>
      <c r="AM3" s="77" t="s">
        <v>24</v>
      </c>
      <c r="AN3" s="77" t="s">
        <v>23</v>
      </c>
      <c r="AO3" s="77" t="s">
        <v>24</v>
      </c>
      <c r="AP3" s="2"/>
      <c r="AW3" s="95">
        <f t="shared" ref="AW3:AW17" si="0">IF(AW2&lt;time1/2,AW2+1,"")</f>
        <v>2</v>
      </c>
    </row>
    <row r="4" spans="1:49">
      <c r="A4" s="7" t="s">
        <v>12</v>
      </c>
      <c r="B4" s="8"/>
      <c r="C4" s="148">
        <v>2002</v>
      </c>
      <c r="D4" s="8"/>
      <c r="E4" s="8"/>
      <c r="F4" s="9"/>
      <c r="H4" s="64"/>
      <c r="I4" s="63"/>
      <c r="J4" s="75"/>
      <c r="K4" s="75"/>
      <c r="L4" s="75" t="s">
        <v>98</v>
      </c>
      <c r="M4" s="63"/>
      <c r="N4" s="63"/>
      <c r="O4" s="75"/>
      <c r="P4" s="75"/>
      <c r="Q4" s="75" t="s">
        <v>98</v>
      </c>
      <c r="R4" s="75"/>
      <c r="S4" s="75"/>
      <c r="T4" s="210" t="s">
        <v>102</v>
      </c>
      <c r="U4" s="211"/>
      <c r="V4" s="210" t="s">
        <v>103</v>
      </c>
      <c r="W4" s="211"/>
      <c r="X4" s="2"/>
      <c r="Y4" s="79" t="s">
        <v>13</v>
      </c>
      <c r="Z4" s="78"/>
      <c r="AA4" s="78"/>
      <c r="AB4" s="77"/>
      <c r="AC4" s="77"/>
      <c r="AD4" s="77" t="s">
        <v>98</v>
      </c>
      <c r="AE4" s="78"/>
      <c r="AF4" s="78"/>
      <c r="AG4" s="77"/>
      <c r="AH4" s="77"/>
      <c r="AI4" s="77" t="s">
        <v>98</v>
      </c>
      <c r="AJ4" s="77"/>
      <c r="AK4" s="77"/>
      <c r="AL4" s="200" t="s">
        <v>102</v>
      </c>
      <c r="AM4" s="200"/>
      <c r="AN4" s="200" t="s">
        <v>103</v>
      </c>
      <c r="AO4" s="200"/>
      <c r="AP4" s="2"/>
      <c r="AW4" s="95">
        <f t="shared" si="0"/>
        <v>3</v>
      </c>
    </row>
    <row r="5" spans="1:49">
      <c r="A5" s="38" t="s">
        <v>7</v>
      </c>
      <c r="B5" s="38"/>
      <c r="C5" s="38"/>
      <c r="D5" s="148">
        <v>10000</v>
      </c>
      <c r="E5" s="8"/>
      <c r="F5" s="9"/>
      <c r="H5" s="63">
        <v>1980</v>
      </c>
      <c r="I5" s="63">
        <f t="shared" ref="I5:I36" si="1">IF(H4=start-1+time1,0,IF(I4&lt;&gt;0,I4+1,IF(H5=start,1,0)))</f>
        <v>0</v>
      </c>
      <c r="J5" s="65">
        <v>0.34899276658629547</v>
      </c>
      <c r="K5" s="66">
        <f t="shared" ref="K5:K36" si="2">IF(I5=0,0,IF(O4=start-1+time1,0,IF(K4&lt;&gt;0,K4*(1+inca),IF(H5=start,12*cont1*eqper,0))))</f>
        <v>0</v>
      </c>
      <c r="L5" s="63">
        <f>IF(I5=1,0,IF(I5=0,0,M4))</f>
        <v>0</v>
      </c>
      <c r="M5" s="63">
        <f>IF(I5=0,0,IF(I5=1,K5*(1+J5),(L5+K5)*(1+J5)))</f>
        <v>0</v>
      </c>
      <c r="N5" s="63">
        <f t="shared" ref="N5:N36" si="3">IF(I5=time1,M5,0)</f>
        <v>0</v>
      </c>
      <c r="O5" s="67">
        <v>7.4999999999999997E-2</v>
      </c>
      <c r="P5" s="66">
        <f t="shared" ref="P5:P36" si="4">IF(I5=0,0,IF(O4=start-1+time1,0,IF(P4&lt;&gt;0,P4*(1+inca),IF(H5=start,12*cont1*bondper,0))))</f>
        <v>0</v>
      </c>
      <c r="Q5" s="63">
        <f>IF(I5=1,0,IF(I5=0,0,R4))</f>
        <v>0</v>
      </c>
      <c r="R5" s="66">
        <f>IF(I5=0,0,IF(I5=1,P5*(1+O5),(Q5+P5)*(1+O5)))</f>
        <v>0</v>
      </c>
      <c r="S5" s="66">
        <f t="shared" ref="S5:S36" si="5">IF(I5=time1,R5,0)</f>
        <v>0</v>
      </c>
      <c r="T5" s="65">
        <f>IF(I5=0,0,(K5+L5)/(K5+L5+P5+Q5))</f>
        <v>0</v>
      </c>
      <c r="U5" s="65">
        <f>IF(I5=0,0,(P5+Q5)/(K5+L5+P5+Q5))</f>
        <v>0</v>
      </c>
      <c r="V5" s="65">
        <f t="shared" ref="V5:V36" si="6">IF(I5=0,0,M5/(M5+R5))</f>
        <v>0</v>
      </c>
      <c r="W5" s="68">
        <f t="shared" ref="W5:W36" si="7">IF(I5=0,0,R5/(M5+R5))</f>
        <v>0</v>
      </c>
      <c r="X5" s="3"/>
      <c r="Y5" s="78">
        <v>1980</v>
      </c>
      <c r="Z5" s="78">
        <f>IF(AG4=start-1+time1,0,IF(Z4&lt;&gt;0,Z4+1,IF(Y5=start,1,0)))</f>
        <v>0</v>
      </c>
      <c r="AA5" s="78" t="str">
        <f t="shared" ref="AA5:AA36" si="8">IF(Z5=0,"",IF(freq="None",5,INT(Z5/freq)-(Z5/freq)))</f>
        <v/>
      </c>
      <c r="AB5" s="80">
        <v>0.34899276658629547</v>
      </c>
      <c r="AC5" s="81">
        <f t="shared" ref="AC5:AC36" si="9">IF(Z5=0,0,IF(AG4=start-1+time1,0,IF(AC4&lt;&gt;0,AC4*(1+inca),IF(Y5=start,12*cont1*eqper,0))))</f>
        <v>0</v>
      </c>
      <c r="AD5" s="78">
        <f t="shared" ref="AD5:AD36" si="10">IF(Z5=1,0,IF(Z5=0,0,IF(AA5=0,eqper*(AE4+AJ4),AE4)))</f>
        <v>0</v>
      </c>
      <c r="AE5" s="78">
        <f>IF(Z5=0,0,(AC5+AD5)*(1+AB5))</f>
        <v>0</v>
      </c>
      <c r="AF5" s="78">
        <f t="shared" ref="AF5:AF8" si="11">IF(Z5=time1,AE5,0)</f>
        <v>0</v>
      </c>
      <c r="AG5" s="82">
        <v>7.4999999999999997E-2</v>
      </c>
      <c r="AH5" s="81">
        <f t="shared" ref="AH5:AH36" si="12">IF(Z5=0,0,IF(AG4=start-1+time1,0,IF(AH4&lt;&gt;0,AH4*(1+inca),IF(Y5=start,12*cont1*bondper,0))))</f>
        <v>0</v>
      </c>
      <c r="AI5" s="78">
        <f t="shared" ref="AI5:AI36" si="13">IF(Z5=1,0,IF(Z5=0,0,IF(AA5=0,bondper*(AE4+AJ4),AJ4)))</f>
        <v>0</v>
      </c>
      <c r="AJ5" s="81">
        <f>IF(Z5=0,0,(AH5+AI5)*(1+AG5))</f>
        <v>0</v>
      </c>
      <c r="AK5" s="81">
        <f t="shared" ref="AK5:AK36" si="14">IF(Z5=time1,AJ5,0)</f>
        <v>0</v>
      </c>
      <c r="AL5" s="80">
        <f>IF(Z5=0,0,(AC5+AD5)/(AC5+AD5+AH5+AI5))</f>
        <v>0</v>
      </c>
      <c r="AM5" s="80">
        <f>IF(Z5=0,0,(AH5+AI5)/(AC5+AD5+AH5+AI5))</f>
        <v>0</v>
      </c>
      <c r="AN5" s="80">
        <f>IF(Z5=0,0,AE5/(AE5+AJ5))</f>
        <v>0</v>
      </c>
      <c r="AO5" s="83">
        <f>IF(Z5=0,0,AJ5/(AE5+AJ5))</f>
        <v>0</v>
      </c>
      <c r="AP5" s="3"/>
      <c r="AW5" s="95">
        <f t="shared" si="0"/>
        <v>4</v>
      </c>
    </row>
    <row r="6" spans="1:49">
      <c r="A6" s="38" t="s">
        <v>130</v>
      </c>
      <c r="B6" s="38"/>
      <c r="C6" s="38"/>
      <c r="D6" s="104">
        <v>0</v>
      </c>
      <c r="E6" s="8"/>
      <c r="F6" s="9"/>
      <c r="H6" s="63">
        <f>H5+1</f>
        <v>1981</v>
      </c>
      <c r="I6" s="63">
        <f t="shared" si="1"/>
        <v>0</v>
      </c>
      <c r="J6" s="65">
        <v>0.25524677121771222</v>
      </c>
      <c r="K6" s="66">
        <f t="shared" si="2"/>
        <v>0</v>
      </c>
      <c r="L6" s="63">
        <f t="shared" ref="L6:L36" si="15">IF(I6=1,0,IF(I6=0,0,M5))</f>
        <v>0</v>
      </c>
      <c r="M6" s="63">
        <f t="shared" ref="M6:M36" si="16">IF(I6=0,0,IF(I6=1,K6*(1+J6),(L6+K6)*(1+J6)))</f>
        <v>0</v>
      </c>
      <c r="N6" s="63">
        <f t="shared" si="3"/>
        <v>0</v>
      </c>
      <c r="O6" s="67">
        <v>0.08</v>
      </c>
      <c r="P6" s="66">
        <f t="shared" si="4"/>
        <v>0</v>
      </c>
      <c r="Q6" s="63">
        <f t="shared" ref="Q6:Q36" si="17">IF(I6=1,0,IF(I6=0,0,R5))</f>
        <v>0</v>
      </c>
      <c r="R6" s="66">
        <f t="shared" ref="R6:R36" si="18">IF(I6=0,0,IF(I6=1,P6*(1+O6),(Q6+P6)*(1+O6)))</f>
        <v>0</v>
      </c>
      <c r="S6" s="66">
        <f t="shared" si="5"/>
        <v>0</v>
      </c>
      <c r="T6" s="65">
        <f t="shared" ref="T6:T36" si="19">IF(I6=0,0,(K6+L6)/(K6+L6+P6+Q6))</f>
        <v>0</v>
      </c>
      <c r="U6" s="65">
        <f t="shared" ref="U6:U36" si="20">IF(I6=0,0,(P6+Q6)/(K6+L6+P6+Q6))</f>
        <v>0</v>
      </c>
      <c r="V6" s="65">
        <f t="shared" si="6"/>
        <v>0</v>
      </c>
      <c r="W6" s="68">
        <f t="shared" si="7"/>
        <v>0</v>
      </c>
      <c r="X6" s="3"/>
      <c r="Y6" s="78">
        <f>Y5+1</f>
        <v>1981</v>
      </c>
      <c r="Z6" s="78">
        <f t="shared" ref="Z6:Z36" si="21">IF(Y5=start-1+time1,0,IF(Z5&lt;&gt;0,Z5+1,IF(Y6=start,1,0)))</f>
        <v>0</v>
      </c>
      <c r="AA6" s="78" t="str">
        <f t="shared" si="8"/>
        <v/>
      </c>
      <c r="AB6" s="80">
        <v>0.25524677121771222</v>
      </c>
      <c r="AC6" s="81">
        <f t="shared" si="9"/>
        <v>0</v>
      </c>
      <c r="AD6" s="78">
        <f t="shared" si="10"/>
        <v>0</v>
      </c>
      <c r="AE6" s="78">
        <f t="shared" ref="AE6:AE36" si="22">IF(Z6=0,0,(AC6+AD6)*(1+AB6))</f>
        <v>0</v>
      </c>
      <c r="AF6" s="78">
        <f t="shared" si="11"/>
        <v>0</v>
      </c>
      <c r="AG6" s="82">
        <v>0.08</v>
      </c>
      <c r="AH6" s="81">
        <f t="shared" si="12"/>
        <v>0</v>
      </c>
      <c r="AI6" s="78">
        <f t="shared" si="13"/>
        <v>0</v>
      </c>
      <c r="AJ6" s="81">
        <f t="shared" ref="AJ6:AJ36" si="23">IF(Z6=0,0,(AH6+AI6)*(1+AG6))</f>
        <v>0</v>
      </c>
      <c r="AK6" s="81">
        <f t="shared" si="14"/>
        <v>0</v>
      </c>
      <c r="AL6" s="80">
        <f t="shared" ref="AL6:AL36" si="24">IF(Z6=0,0,(AC6+AD6)/(AC6+AD6+AH6+AI6))</f>
        <v>0</v>
      </c>
      <c r="AM6" s="80">
        <f t="shared" ref="AM6:AM36" si="25">IF(Z6=0,0,(AH6+AI6)/(AC6+AD6+AH6+AI6))</f>
        <v>0</v>
      </c>
      <c r="AN6" s="80">
        <f t="shared" ref="AN6:AN36" si="26">IF(Z6=0,0,AE6/(AE6+AJ6))</f>
        <v>0</v>
      </c>
      <c r="AO6" s="83">
        <f t="shared" ref="AO6:AO36" si="27">IF(Z6=0,0,AJ6/(AE6+AJ6))</f>
        <v>0</v>
      </c>
      <c r="AP6" s="3"/>
      <c r="AW6" s="95">
        <f t="shared" si="0"/>
        <v>5</v>
      </c>
    </row>
    <row r="7" spans="1:49">
      <c r="E7" s="8"/>
      <c r="F7" s="9"/>
      <c r="H7" s="63">
        <f t="shared" ref="H7:H36" si="28">H6+1</f>
        <v>1982</v>
      </c>
      <c r="I7" s="63">
        <f t="shared" si="1"/>
        <v>0</v>
      </c>
      <c r="J7" s="65">
        <v>-2.8478250884203839E-2</v>
      </c>
      <c r="K7" s="66">
        <f t="shared" si="2"/>
        <v>0</v>
      </c>
      <c r="L7" s="63">
        <f t="shared" si="15"/>
        <v>0</v>
      </c>
      <c r="M7" s="63">
        <f t="shared" si="16"/>
        <v>0</v>
      </c>
      <c r="N7" s="63">
        <f t="shared" si="3"/>
        <v>0</v>
      </c>
      <c r="O7" s="67">
        <v>0.08</v>
      </c>
      <c r="P7" s="66">
        <f t="shared" si="4"/>
        <v>0</v>
      </c>
      <c r="Q7" s="63">
        <f t="shared" si="17"/>
        <v>0</v>
      </c>
      <c r="R7" s="66">
        <f t="shared" si="18"/>
        <v>0</v>
      </c>
      <c r="S7" s="66">
        <f t="shared" si="5"/>
        <v>0</v>
      </c>
      <c r="T7" s="65">
        <f t="shared" si="19"/>
        <v>0</v>
      </c>
      <c r="U7" s="65">
        <f t="shared" si="20"/>
        <v>0</v>
      </c>
      <c r="V7" s="65">
        <f t="shared" si="6"/>
        <v>0</v>
      </c>
      <c r="W7" s="68">
        <f t="shared" si="7"/>
        <v>0</v>
      </c>
      <c r="X7" s="3"/>
      <c r="Y7" s="78">
        <f t="shared" ref="Y7:Y36" si="29">Y6+1</f>
        <v>1982</v>
      </c>
      <c r="Z7" s="78">
        <f t="shared" si="21"/>
        <v>0</v>
      </c>
      <c r="AA7" s="78" t="str">
        <f t="shared" si="8"/>
        <v/>
      </c>
      <c r="AB7" s="80">
        <v>-2.8478250884203839E-2</v>
      </c>
      <c r="AC7" s="81">
        <f t="shared" si="9"/>
        <v>0</v>
      </c>
      <c r="AD7" s="78">
        <f t="shared" si="10"/>
        <v>0</v>
      </c>
      <c r="AE7" s="78">
        <f t="shared" si="22"/>
        <v>0</v>
      </c>
      <c r="AF7" s="78">
        <f t="shared" si="11"/>
        <v>0</v>
      </c>
      <c r="AG7" s="82">
        <v>0.08</v>
      </c>
      <c r="AH7" s="81">
        <f t="shared" si="12"/>
        <v>0</v>
      </c>
      <c r="AI7" s="78">
        <f t="shared" si="13"/>
        <v>0</v>
      </c>
      <c r="AJ7" s="81">
        <f t="shared" si="23"/>
        <v>0</v>
      </c>
      <c r="AK7" s="81">
        <f t="shared" si="14"/>
        <v>0</v>
      </c>
      <c r="AL7" s="80">
        <f t="shared" si="24"/>
        <v>0</v>
      </c>
      <c r="AM7" s="80">
        <f t="shared" si="25"/>
        <v>0</v>
      </c>
      <c r="AN7" s="80">
        <f t="shared" si="26"/>
        <v>0</v>
      </c>
      <c r="AO7" s="83">
        <f t="shared" si="27"/>
        <v>0</v>
      </c>
      <c r="AP7" s="3"/>
      <c r="AW7" s="95" t="str">
        <f t="shared" si="0"/>
        <v/>
      </c>
    </row>
    <row r="8" spans="1:49">
      <c r="A8" s="212" t="s">
        <v>111</v>
      </c>
      <c r="B8" s="212"/>
      <c r="C8" s="99">
        <v>1</v>
      </c>
      <c r="D8" s="100" t="s">
        <v>112</v>
      </c>
      <c r="E8" s="8"/>
      <c r="F8" s="9"/>
      <c r="H8" s="63">
        <f t="shared" si="28"/>
        <v>1983</v>
      </c>
      <c r="I8" s="63">
        <f t="shared" si="1"/>
        <v>0</v>
      </c>
      <c r="J8" s="65">
        <v>0.15989787716892828</v>
      </c>
      <c r="K8" s="66">
        <f t="shared" si="2"/>
        <v>0</v>
      </c>
      <c r="L8" s="63">
        <f t="shared" si="15"/>
        <v>0</v>
      </c>
      <c r="M8" s="63">
        <f t="shared" si="16"/>
        <v>0</v>
      </c>
      <c r="N8" s="63">
        <f t="shared" si="3"/>
        <v>0</v>
      </c>
      <c r="O8" s="67">
        <v>0.08</v>
      </c>
      <c r="P8" s="66">
        <f t="shared" si="4"/>
        <v>0</v>
      </c>
      <c r="Q8" s="63">
        <f t="shared" si="17"/>
        <v>0</v>
      </c>
      <c r="R8" s="66">
        <f t="shared" si="18"/>
        <v>0</v>
      </c>
      <c r="S8" s="66">
        <f t="shared" si="5"/>
        <v>0</v>
      </c>
      <c r="T8" s="65">
        <f t="shared" si="19"/>
        <v>0</v>
      </c>
      <c r="U8" s="65">
        <f t="shared" si="20"/>
        <v>0</v>
      </c>
      <c r="V8" s="65">
        <f t="shared" si="6"/>
        <v>0</v>
      </c>
      <c r="W8" s="68">
        <f t="shared" si="7"/>
        <v>0</v>
      </c>
      <c r="X8" s="3"/>
      <c r="Y8" s="78">
        <f t="shared" si="29"/>
        <v>1983</v>
      </c>
      <c r="Z8" s="78">
        <f t="shared" si="21"/>
        <v>0</v>
      </c>
      <c r="AA8" s="78" t="str">
        <f t="shared" si="8"/>
        <v/>
      </c>
      <c r="AB8" s="80">
        <v>0.15989787716892828</v>
      </c>
      <c r="AC8" s="81">
        <f t="shared" si="9"/>
        <v>0</v>
      </c>
      <c r="AD8" s="78">
        <f t="shared" si="10"/>
        <v>0</v>
      </c>
      <c r="AE8" s="78">
        <f t="shared" si="22"/>
        <v>0</v>
      </c>
      <c r="AF8" s="78">
        <f t="shared" si="11"/>
        <v>0</v>
      </c>
      <c r="AG8" s="82">
        <v>0.08</v>
      </c>
      <c r="AH8" s="81">
        <f t="shared" si="12"/>
        <v>0</v>
      </c>
      <c r="AI8" s="78">
        <f t="shared" si="13"/>
        <v>0</v>
      </c>
      <c r="AJ8" s="81">
        <f t="shared" si="23"/>
        <v>0</v>
      </c>
      <c r="AK8" s="81">
        <f t="shared" si="14"/>
        <v>0</v>
      </c>
      <c r="AL8" s="80">
        <f t="shared" si="24"/>
        <v>0</v>
      </c>
      <c r="AM8" s="80">
        <f t="shared" si="25"/>
        <v>0</v>
      </c>
      <c r="AN8" s="80">
        <f t="shared" si="26"/>
        <v>0</v>
      </c>
      <c r="AO8" s="83">
        <f t="shared" si="27"/>
        <v>0</v>
      </c>
      <c r="AP8" s="3"/>
      <c r="AW8" s="95" t="str">
        <f t="shared" si="0"/>
        <v/>
      </c>
    </row>
    <row r="9" spans="1:49">
      <c r="E9" s="8"/>
      <c r="F9" s="9"/>
      <c r="H9" s="63">
        <f t="shared" si="28"/>
        <v>1984</v>
      </c>
      <c r="I9" s="63">
        <f t="shared" si="1"/>
        <v>0</v>
      </c>
      <c r="J9" s="65">
        <v>0.44238372803978315</v>
      </c>
      <c r="K9" s="66">
        <f t="shared" si="2"/>
        <v>0</v>
      </c>
      <c r="L9" s="63">
        <f t="shared" si="15"/>
        <v>0</v>
      </c>
      <c r="M9" s="63">
        <f t="shared" si="16"/>
        <v>0</v>
      </c>
      <c r="N9" s="63">
        <f>IF(I9=time1,M9,0)</f>
        <v>0</v>
      </c>
      <c r="O9" s="67">
        <v>0.08</v>
      </c>
      <c r="P9" s="66">
        <f t="shared" si="4"/>
        <v>0</v>
      </c>
      <c r="Q9" s="63">
        <f t="shared" si="17"/>
        <v>0</v>
      </c>
      <c r="R9" s="66">
        <f t="shared" si="18"/>
        <v>0</v>
      </c>
      <c r="S9" s="66">
        <f t="shared" si="5"/>
        <v>0</v>
      </c>
      <c r="T9" s="65">
        <f t="shared" si="19"/>
        <v>0</v>
      </c>
      <c r="U9" s="65">
        <f t="shared" si="20"/>
        <v>0</v>
      </c>
      <c r="V9" s="65">
        <f t="shared" si="6"/>
        <v>0</v>
      </c>
      <c r="W9" s="68">
        <f t="shared" si="7"/>
        <v>0</v>
      </c>
      <c r="X9" s="3"/>
      <c r="Y9" s="78">
        <f t="shared" si="29"/>
        <v>1984</v>
      </c>
      <c r="Z9" s="78">
        <f t="shared" si="21"/>
        <v>0</v>
      </c>
      <c r="AA9" s="78" t="str">
        <f t="shared" si="8"/>
        <v/>
      </c>
      <c r="AB9" s="80">
        <v>0.44238372803978315</v>
      </c>
      <c r="AC9" s="81">
        <f t="shared" si="9"/>
        <v>0</v>
      </c>
      <c r="AD9" s="78">
        <f t="shared" si="10"/>
        <v>0</v>
      </c>
      <c r="AE9" s="78">
        <f t="shared" si="22"/>
        <v>0</v>
      </c>
      <c r="AF9" s="78">
        <f>IF(Z9=time1,AE9,0)</f>
        <v>0</v>
      </c>
      <c r="AG9" s="82">
        <v>0.08</v>
      </c>
      <c r="AH9" s="81">
        <f t="shared" si="12"/>
        <v>0</v>
      </c>
      <c r="AI9" s="78">
        <f t="shared" si="13"/>
        <v>0</v>
      </c>
      <c r="AJ9" s="81">
        <f t="shared" si="23"/>
        <v>0</v>
      </c>
      <c r="AK9" s="81">
        <f t="shared" si="14"/>
        <v>0</v>
      </c>
      <c r="AL9" s="80">
        <f t="shared" si="24"/>
        <v>0</v>
      </c>
      <c r="AM9" s="80">
        <f t="shared" si="25"/>
        <v>0</v>
      </c>
      <c r="AN9" s="80">
        <f t="shared" si="26"/>
        <v>0</v>
      </c>
      <c r="AO9" s="83">
        <f t="shared" si="27"/>
        <v>0</v>
      </c>
      <c r="AP9" s="3"/>
      <c r="AW9" s="95" t="str">
        <f t="shared" si="0"/>
        <v/>
      </c>
    </row>
    <row r="10" spans="1:49">
      <c r="A10" s="7" t="s">
        <v>19</v>
      </c>
      <c r="B10" s="104">
        <v>0.5</v>
      </c>
      <c r="C10" s="27" t="s">
        <v>20</v>
      </c>
      <c r="D10" s="105">
        <f>100%-eqper</f>
        <v>0.5</v>
      </c>
      <c r="E10" s="8"/>
      <c r="F10" s="9"/>
      <c r="H10" s="63">
        <f t="shared" si="28"/>
        <v>1985</v>
      </c>
      <c r="I10" s="63">
        <f t="shared" si="1"/>
        <v>0</v>
      </c>
      <c r="J10" s="65">
        <v>0.62242129655796075</v>
      </c>
      <c r="K10" s="66">
        <f t="shared" si="2"/>
        <v>0</v>
      </c>
      <c r="L10" s="63">
        <f t="shared" si="15"/>
        <v>0</v>
      </c>
      <c r="M10" s="63">
        <f t="shared" si="16"/>
        <v>0</v>
      </c>
      <c r="N10" s="63">
        <f>IF(I10=time1,M10,0)</f>
        <v>0</v>
      </c>
      <c r="O10" s="67">
        <v>8.5000000000000006E-2</v>
      </c>
      <c r="P10" s="66">
        <f t="shared" si="4"/>
        <v>0</v>
      </c>
      <c r="Q10" s="63">
        <f t="shared" si="17"/>
        <v>0</v>
      </c>
      <c r="R10" s="66">
        <f t="shared" si="18"/>
        <v>0</v>
      </c>
      <c r="S10" s="66">
        <f t="shared" si="5"/>
        <v>0</v>
      </c>
      <c r="T10" s="65">
        <f t="shared" si="19"/>
        <v>0</v>
      </c>
      <c r="U10" s="65">
        <f t="shared" si="20"/>
        <v>0</v>
      </c>
      <c r="V10" s="65">
        <f t="shared" si="6"/>
        <v>0</v>
      </c>
      <c r="W10" s="68">
        <f t="shared" si="7"/>
        <v>0</v>
      </c>
      <c r="X10" s="3"/>
      <c r="Y10" s="78">
        <f t="shared" si="29"/>
        <v>1985</v>
      </c>
      <c r="Z10" s="78">
        <f t="shared" si="21"/>
        <v>0</v>
      </c>
      <c r="AA10" s="78" t="str">
        <f t="shared" si="8"/>
        <v/>
      </c>
      <c r="AB10" s="80">
        <v>0.62242129655796075</v>
      </c>
      <c r="AC10" s="81">
        <f t="shared" si="9"/>
        <v>0</v>
      </c>
      <c r="AD10" s="78">
        <f t="shared" si="10"/>
        <v>0</v>
      </c>
      <c r="AE10" s="78">
        <f t="shared" si="22"/>
        <v>0</v>
      </c>
      <c r="AF10" s="78">
        <f>IF(Z10=time1,AE10,0)</f>
        <v>0</v>
      </c>
      <c r="AG10" s="82">
        <v>8.5000000000000006E-2</v>
      </c>
      <c r="AH10" s="81">
        <f t="shared" si="12"/>
        <v>0</v>
      </c>
      <c r="AI10" s="78">
        <f t="shared" si="13"/>
        <v>0</v>
      </c>
      <c r="AJ10" s="81">
        <f t="shared" si="23"/>
        <v>0</v>
      </c>
      <c r="AK10" s="81">
        <f t="shared" si="14"/>
        <v>0</v>
      </c>
      <c r="AL10" s="80">
        <f t="shared" si="24"/>
        <v>0</v>
      </c>
      <c r="AM10" s="80">
        <f t="shared" si="25"/>
        <v>0</v>
      </c>
      <c r="AN10" s="80">
        <f t="shared" si="26"/>
        <v>0</v>
      </c>
      <c r="AO10" s="83">
        <f t="shared" si="27"/>
        <v>0</v>
      </c>
      <c r="AP10" s="3"/>
      <c r="AW10" s="95" t="str">
        <f t="shared" si="0"/>
        <v/>
      </c>
    </row>
    <row r="11" spans="1:49" ht="15" thickBot="1">
      <c r="A11" s="13" t="s">
        <v>22</v>
      </c>
      <c r="B11" s="10"/>
      <c r="C11" s="10"/>
      <c r="D11" s="10"/>
      <c r="E11" s="10"/>
      <c r="F11" s="11"/>
      <c r="H11" s="63">
        <f t="shared" si="28"/>
        <v>1986</v>
      </c>
      <c r="I11" s="63">
        <f t="shared" si="1"/>
        <v>0</v>
      </c>
      <c r="J11" s="65">
        <v>-0.11104143805194128</v>
      </c>
      <c r="K11" s="66">
        <f t="shared" si="2"/>
        <v>0</v>
      </c>
      <c r="L11" s="63">
        <f t="shared" si="15"/>
        <v>0</v>
      </c>
      <c r="M11" s="63">
        <f t="shared" si="16"/>
        <v>0</v>
      </c>
      <c r="N11" s="63">
        <f t="shared" si="3"/>
        <v>0</v>
      </c>
      <c r="O11" s="67">
        <v>8.5000000000000006E-2</v>
      </c>
      <c r="P11" s="66">
        <f t="shared" si="4"/>
        <v>0</v>
      </c>
      <c r="Q11" s="63">
        <f t="shared" si="17"/>
        <v>0</v>
      </c>
      <c r="R11" s="66">
        <f t="shared" si="18"/>
        <v>0</v>
      </c>
      <c r="S11" s="66">
        <f t="shared" si="5"/>
        <v>0</v>
      </c>
      <c r="T11" s="65">
        <f t="shared" si="19"/>
        <v>0</v>
      </c>
      <c r="U11" s="65">
        <f t="shared" si="20"/>
        <v>0</v>
      </c>
      <c r="V11" s="65">
        <f t="shared" si="6"/>
        <v>0</v>
      </c>
      <c r="W11" s="68">
        <f t="shared" si="7"/>
        <v>0</v>
      </c>
      <c r="X11" s="3"/>
      <c r="Y11" s="78">
        <f t="shared" si="29"/>
        <v>1986</v>
      </c>
      <c r="Z11" s="78">
        <f t="shared" si="21"/>
        <v>0</v>
      </c>
      <c r="AA11" s="78" t="str">
        <f t="shared" si="8"/>
        <v/>
      </c>
      <c r="AB11" s="80">
        <v>-0.11104143805194128</v>
      </c>
      <c r="AC11" s="81">
        <f t="shared" si="9"/>
        <v>0</v>
      </c>
      <c r="AD11" s="78">
        <f t="shared" si="10"/>
        <v>0</v>
      </c>
      <c r="AE11" s="78">
        <f t="shared" si="22"/>
        <v>0</v>
      </c>
      <c r="AF11" s="78">
        <f t="shared" ref="AF11:AF36" si="30">IF(Z11=time1,AE11,0)</f>
        <v>0</v>
      </c>
      <c r="AG11" s="82">
        <v>8.5000000000000006E-2</v>
      </c>
      <c r="AH11" s="81">
        <f t="shared" si="12"/>
        <v>0</v>
      </c>
      <c r="AI11" s="78">
        <f t="shared" si="13"/>
        <v>0</v>
      </c>
      <c r="AJ11" s="81">
        <f t="shared" si="23"/>
        <v>0</v>
      </c>
      <c r="AK11" s="81">
        <f t="shared" si="14"/>
        <v>0</v>
      </c>
      <c r="AL11" s="80">
        <f t="shared" si="24"/>
        <v>0</v>
      </c>
      <c r="AM11" s="80">
        <f t="shared" si="25"/>
        <v>0</v>
      </c>
      <c r="AN11" s="80">
        <f t="shared" si="26"/>
        <v>0</v>
      </c>
      <c r="AO11" s="83">
        <f t="shared" si="27"/>
        <v>0</v>
      </c>
      <c r="AP11" s="3"/>
      <c r="AW11" s="95" t="str">
        <f t="shared" si="0"/>
        <v/>
      </c>
    </row>
    <row r="12" spans="1:49">
      <c r="A12" s="27"/>
      <c r="H12" s="63">
        <f t="shared" si="28"/>
        <v>1987</v>
      </c>
      <c r="I12" s="63">
        <f t="shared" si="1"/>
        <v>0</v>
      </c>
      <c r="J12" s="65">
        <v>-0.21943334117093818</v>
      </c>
      <c r="K12" s="66">
        <f t="shared" si="2"/>
        <v>0</v>
      </c>
      <c r="L12" s="63">
        <f t="shared" si="15"/>
        <v>0</v>
      </c>
      <c r="M12" s="63">
        <f t="shared" si="16"/>
        <v>0</v>
      </c>
      <c r="N12" s="63">
        <f t="shared" si="3"/>
        <v>0</v>
      </c>
      <c r="O12" s="67">
        <v>0.09</v>
      </c>
      <c r="P12" s="66">
        <f t="shared" si="4"/>
        <v>0</v>
      </c>
      <c r="Q12" s="63">
        <f t="shared" si="17"/>
        <v>0</v>
      </c>
      <c r="R12" s="66">
        <f t="shared" si="18"/>
        <v>0</v>
      </c>
      <c r="S12" s="66">
        <f t="shared" si="5"/>
        <v>0</v>
      </c>
      <c r="T12" s="65">
        <f t="shared" si="19"/>
        <v>0</v>
      </c>
      <c r="U12" s="65">
        <f t="shared" si="20"/>
        <v>0</v>
      </c>
      <c r="V12" s="65">
        <f t="shared" si="6"/>
        <v>0</v>
      </c>
      <c r="W12" s="68">
        <f t="shared" si="7"/>
        <v>0</v>
      </c>
      <c r="X12" s="3"/>
      <c r="Y12" s="78">
        <f t="shared" si="29"/>
        <v>1987</v>
      </c>
      <c r="Z12" s="78">
        <f t="shared" si="21"/>
        <v>0</v>
      </c>
      <c r="AA12" s="78" t="str">
        <f t="shared" si="8"/>
        <v/>
      </c>
      <c r="AB12" s="80">
        <v>-0.21943334117093818</v>
      </c>
      <c r="AC12" s="81">
        <f t="shared" si="9"/>
        <v>0</v>
      </c>
      <c r="AD12" s="78">
        <f t="shared" si="10"/>
        <v>0</v>
      </c>
      <c r="AE12" s="78">
        <f t="shared" si="22"/>
        <v>0</v>
      </c>
      <c r="AF12" s="78">
        <f t="shared" si="30"/>
        <v>0</v>
      </c>
      <c r="AG12" s="82">
        <v>0.09</v>
      </c>
      <c r="AH12" s="81">
        <f t="shared" si="12"/>
        <v>0</v>
      </c>
      <c r="AI12" s="78">
        <f t="shared" si="13"/>
        <v>0</v>
      </c>
      <c r="AJ12" s="81">
        <f t="shared" si="23"/>
        <v>0</v>
      </c>
      <c r="AK12" s="81">
        <f t="shared" si="14"/>
        <v>0</v>
      </c>
      <c r="AL12" s="80">
        <f t="shared" si="24"/>
        <v>0</v>
      </c>
      <c r="AM12" s="80">
        <f t="shared" si="25"/>
        <v>0</v>
      </c>
      <c r="AN12" s="80">
        <f t="shared" si="26"/>
        <v>0</v>
      </c>
      <c r="AO12" s="83">
        <f t="shared" si="27"/>
        <v>0</v>
      </c>
      <c r="AP12" s="3"/>
      <c r="AW12" s="95" t="str">
        <f t="shared" si="0"/>
        <v/>
      </c>
    </row>
    <row r="13" spans="1:49">
      <c r="A13" s="38"/>
      <c r="B13" s="38" t="s">
        <v>26</v>
      </c>
      <c r="C13" s="38" t="s">
        <v>27</v>
      </c>
      <c r="D13" s="38" t="s">
        <v>28</v>
      </c>
      <c r="E13" s="38" t="s">
        <v>29</v>
      </c>
      <c r="F13" s="38" t="s">
        <v>30</v>
      </c>
      <c r="H13" s="63">
        <f t="shared" si="28"/>
        <v>1988</v>
      </c>
      <c r="I13" s="63">
        <f t="shared" si="1"/>
        <v>0</v>
      </c>
      <c r="J13" s="65">
        <v>0.79129954564851768</v>
      </c>
      <c r="K13" s="66">
        <f t="shared" si="2"/>
        <v>0</v>
      </c>
      <c r="L13" s="63">
        <f t="shared" si="15"/>
        <v>0</v>
      </c>
      <c r="M13" s="63">
        <f t="shared" si="16"/>
        <v>0</v>
      </c>
      <c r="N13" s="63">
        <f t="shared" si="3"/>
        <v>0</v>
      </c>
      <c r="O13" s="67">
        <v>0.09</v>
      </c>
      <c r="P13" s="66">
        <f t="shared" si="4"/>
        <v>0</v>
      </c>
      <c r="Q13" s="63">
        <f t="shared" si="17"/>
        <v>0</v>
      </c>
      <c r="R13" s="66">
        <f t="shared" si="18"/>
        <v>0</v>
      </c>
      <c r="S13" s="66">
        <f t="shared" si="5"/>
        <v>0</v>
      </c>
      <c r="T13" s="65">
        <f t="shared" si="19"/>
        <v>0</v>
      </c>
      <c r="U13" s="65">
        <f t="shared" si="20"/>
        <v>0</v>
      </c>
      <c r="V13" s="65">
        <f t="shared" si="6"/>
        <v>0</v>
      </c>
      <c r="W13" s="68">
        <f t="shared" si="7"/>
        <v>0</v>
      </c>
      <c r="X13" s="3"/>
      <c r="Y13" s="78">
        <f t="shared" si="29"/>
        <v>1988</v>
      </c>
      <c r="Z13" s="78">
        <f t="shared" si="21"/>
        <v>0</v>
      </c>
      <c r="AA13" s="78" t="str">
        <f t="shared" si="8"/>
        <v/>
      </c>
      <c r="AB13" s="80">
        <v>0.79129954564851768</v>
      </c>
      <c r="AC13" s="81">
        <f t="shared" si="9"/>
        <v>0</v>
      </c>
      <c r="AD13" s="78">
        <f t="shared" si="10"/>
        <v>0</v>
      </c>
      <c r="AE13" s="78">
        <f t="shared" si="22"/>
        <v>0</v>
      </c>
      <c r="AF13" s="78">
        <f t="shared" si="30"/>
        <v>0</v>
      </c>
      <c r="AG13" s="82">
        <v>0.09</v>
      </c>
      <c r="AH13" s="81">
        <f t="shared" si="12"/>
        <v>0</v>
      </c>
      <c r="AI13" s="78">
        <f t="shared" si="13"/>
        <v>0</v>
      </c>
      <c r="AJ13" s="81">
        <f t="shared" si="23"/>
        <v>0</v>
      </c>
      <c r="AK13" s="81">
        <f t="shared" si="14"/>
        <v>0</v>
      </c>
      <c r="AL13" s="80">
        <f t="shared" si="24"/>
        <v>0</v>
      </c>
      <c r="AM13" s="80">
        <f t="shared" si="25"/>
        <v>0</v>
      </c>
      <c r="AN13" s="80">
        <f t="shared" si="26"/>
        <v>0</v>
      </c>
      <c r="AO13" s="83">
        <f t="shared" si="27"/>
        <v>0</v>
      </c>
      <c r="AP13" s="3"/>
      <c r="AW13" s="95" t="str">
        <f t="shared" si="0"/>
        <v/>
      </c>
    </row>
    <row r="14" spans="1:49">
      <c r="A14" s="29" t="s">
        <v>129</v>
      </c>
      <c r="B14" s="156">
        <f>MAX(N2:N57)</f>
        <v>1451185.8048771338</v>
      </c>
      <c r="C14" s="156">
        <f>MAX(S2:S57)</f>
        <v>941949.10495299462</v>
      </c>
      <c r="D14" s="157">
        <f>B14+C14</f>
        <v>2393134.9098301283</v>
      </c>
      <c r="E14" s="158">
        <f>B14/D14</f>
        <v>0.60639531808933544</v>
      </c>
      <c r="F14" s="158">
        <f>C14/D14</f>
        <v>0.39360468191066456</v>
      </c>
      <c r="H14" s="63">
        <f t="shared" si="28"/>
        <v>1989</v>
      </c>
      <c r="I14" s="63">
        <f t="shared" si="1"/>
        <v>0</v>
      </c>
      <c r="J14" s="65">
        <v>9.4520739910313803E-2</v>
      </c>
      <c r="K14" s="66">
        <f t="shared" si="2"/>
        <v>0</v>
      </c>
      <c r="L14" s="63">
        <f t="shared" si="15"/>
        <v>0</v>
      </c>
      <c r="M14" s="63">
        <f t="shared" si="16"/>
        <v>0</v>
      </c>
      <c r="N14" s="63">
        <f t="shared" si="3"/>
        <v>0</v>
      </c>
      <c r="O14" s="67">
        <v>0.09</v>
      </c>
      <c r="P14" s="66">
        <f t="shared" si="4"/>
        <v>0</v>
      </c>
      <c r="Q14" s="63">
        <f t="shared" si="17"/>
        <v>0</v>
      </c>
      <c r="R14" s="66">
        <f t="shared" si="18"/>
        <v>0</v>
      </c>
      <c r="S14" s="66">
        <f t="shared" si="5"/>
        <v>0</v>
      </c>
      <c r="T14" s="65">
        <f t="shared" si="19"/>
        <v>0</v>
      </c>
      <c r="U14" s="65">
        <f t="shared" si="20"/>
        <v>0</v>
      </c>
      <c r="V14" s="65">
        <f t="shared" si="6"/>
        <v>0</v>
      </c>
      <c r="W14" s="68">
        <f t="shared" si="7"/>
        <v>0</v>
      </c>
      <c r="X14" s="3"/>
      <c r="Y14" s="78">
        <f t="shared" si="29"/>
        <v>1989</v>
      </c>
      <c r="Z14" s="78">
        <f t="shared" si="21"/>
        <v>0</v>
      </c>
      <c r="AA14" s="78" t="str">
        <f t="shared" si="8"/>
        <v/>
      </c>
      <c r="AB14" s="80">
        <v>9.4520739910313803E-2</v>
      </c>
      <c r="AC14" s="81">
        <f t="shared" si="9"/>
        <v>0</v>
      </c>
      <c r="AD14" s="78">
        <f t="shared" si="10"/>
        <v>0</v>
      </c>
      <c r="AE14" s="78">
        <f t="shared" si="22"/>
        <v>0</v>
      </c>
      <c r="AF14" s="78">
        <f t="shared" si="30"/>
        <v>0</v>
      </c>
      <c r="AG14" s="82">
        <v>0.09</v>
      </c>
      <c r="AH14" s="81">
        <f t="shared" si="12"/>
        <v>0</v>
      </c>
      <c r="AI14" s="78">
        <f t="shared" si="13"/>
        <v>0</v>
      </c>
      <c r="AJ14" s="81">
        <f t="shared" si="23"/>
        <v>0</v>
      </c>
      <c r="AK14" s="81">
        <f t="shared" si="14"/>
        <v>0</v>
      </c>
      <c r="AL14" s="80">
        <f t="shared" si="24"/>
        <v>0</v>
      </c>
      <c r="AM14" s="80">
        <f t="shared" si="25"/>
        <v>0</v>
      </c>
      <c r="AN14" s="80">
        <f t="shared" si="26"/>
        <v>0</v>
      </c>
      <c r="AO14" s="83">
        <f t="shared" si="27"/>
        <v>0</v>
      </c>
      <c r="AP14" s="3"/>
      <c r="AW14" s="95" t="str">
        <f t="shared" si="0"/>
        <v/>
      </c>
    </row>
    <row r="15" spans="1:49">
      <c r="A15" s="29" t="s">
        <v>128</v>
      </c>
      <c r="B15" s="156">
        <f>MAX(AF4:AF58)</f>
        <v>1118498.4225860329</v>
      </c>
      <c r="C15" s="156">
        <f>MAX(AK4:AK58)</f>
        <v>1387114.2613952842</v>
      </c>
      <c r="D15" s="157">
        <f>B15+C15</f>
        <v>2505612.6839813171</v>
      </c>
      <c r="E15" s="158">
        <f>B15/D15</f>
        <v>0.446397174526106</v>
      </c>
      <c r="F15" s="158">
        <f>C15/D15</f>
        <v>0.55360282547389394</v>
      </c>
      <c r="H15" s="63">
        <f t="shared" si="28"/>
        <v>1990</v>
      </c>
      <c r="I15" s="63">
        <f t="shared" si="1"/>
        <v>0</v>
      </c>
      <c r="J15" s="65">
        <v>0.49538441841111336</v>
      </c>
      <c r="K15" s="66">
        <f t="shared" si="2"/>
        <v>0</v>
      </c>
      <c r="L15" s="63">
        <f t="shared" si="15"/>
        <v>0</v>
      </c>
      <c r="M15" s="63">
        <f t="shared" si="16"/>
        <v>0</v>
      </c>
      <c r="N15" s="63">
        <f t="shared" si="3"/>
        <v>0</v>
      </c>
      <c r="O15" s="67">
        <v>0.09</v>
      </c>
      <c r="P15" s="66">
        <f t="shared" si="4"/>
        <v>0</v>
      </c>
      <c r="Q15" s="63">
        <f t="shared" si="17"/>
        <v>0</v>
      </c>
      <c r="R15" s="66">
        <f t="shared" si="18"/>
        <v>0</v>
      </c>
      <c r="S15" s="66">
        <f t="shared" si="5"/>
        <v>0</v>
      </c>
      <c r="T15" s="65">
        <f t="shared" si="19"/>
        <v>0</v>
      </c>
      <c r="U15" s="65">
        <f t="shared" si="20"/>
        <v>0</v>
      </c>
      <c r="V15" s="65">
        <f t="shared" si="6"/>
        <v>0</v>
      </c>
      <c r="W15" s="68">
        <f t="shared" si="7"/>
        <v>0</v>
      </c>
      <c r="X15" s="3"/>
      <c r="Y15" s="78">
        <f t="shared" si="29"/>
        <v>1990</v>
      </c>
      <c r="Z15" s="78">
        <f t="shared" si="21"/>
        <v>0</v>
      </c>
      <c r="AA15" s="78" t="str">
        <f t="shared" si="8"/>
        <v/>
      </c>
      <c r="AB15" s="80">
        <v>0.49538441841111336</v>
      </c>
      <c r="AC15" s="81">
        <f t="shared" si="9"/>
        <v>0</v>
      </c>
      <c r="AD15" s="78">
        <f t="shared" si="10"/>
        <v>0</v>
      </c>
      <c r="AE15" s="78">
        <f t="shared" si="22"/>
        <v>0</v>
      </c>
      <c r="AF15" s="78">
        <f t="shared" si="30"/>
        <v>0</v>
      </c>
      <c r="AG15" s="82">
        <v>0.09</v>
      </c>
      <c r="AH15" s="81">
        <f t="shared" si="12"/>
        <v>0</v>
      </c>
      <c r="AI15" s="78">
        <f t="shared" si="13"/>
        <v>0</v>
      </c>
      <c r="AJ15" s="81">
        <f t="shared" si="23"/>
        <v>0</v>
      </c>
      <c r="AK15" s="81">
        <f t="shared" si="14"/>
        <v>0</v>
      </c>
      <c r="AL15" s="80">
        <f t="shared" si="24"/>
        <v>0</v>
      </c>
      <c r="AM15" s="80">
        <f t="shared" si="25"/>
        <v>0</v>
      </c>
      <c r="AN15" s="80">
        <f t="shared" si="26"/>
        <v>0</v>
      </c>
      <c r="AO15" s="83">
        <f t="shared" si="27"/>
        <v>0</v>
      </c>
      <c r="AP15" s="3"/>
      <c r="AW15" s="95" t="str">
        <f t="shared" si="0"/>
        <v/>
      </c>
    </row>
    <row r="16" spans="1:49">
      <c r="A16" s="27" t="s">
        <v>131</v>
      </c>
      <c r="H16" s="63">
        <f t="shared" si="28"/>
        <v>1991</v>
      </c>
      <c r="I16" s="63">
        <f t="shared" si="1"/>
        <v>0</v>
      </c>
      <c r="J16" s="65">
        <v>2.6687586153753942</v>
      </c>
      <c r="K16" s="66">
        <f t="shared" si="2"/>
        <v>0</v>
      </c>
      <c r="L16" s="63">
        <f t="shared" si="15"/>
        <v>0</v>
      </c>
      <c r="M16" s="63">
        <f t="shared" si="16"/>
        <v>0</v>
      </c>
      <c r="N16" s="63">
        <f t="shared" si="3"/>
        <v>0</v>
      </c>
      <c r="O16" s="67">
        <v>0.12</v>
      </c>
      <c r="P16" s="66">
        <f t="shared" si="4"/>
        <v>0</v>
      </c>
      <c r="Q16" s="63">
        <f t="shared" si="17"/>
        <v>0</v>
      </c>
      <c r="R16" s="66">
        <f t="shared" si="18"/>
        <v>0</v>
      </c>
      <c r="S16" s="66">
        <f t="shared" si="5"/>
        <v>0</v>
      </c>
      <c r="T16" s="65">
        <f t="shared" si="19"/>
        <v>0</v>
      </c>
      <c r="U16" s="65">
        <f t="shared" si="20"/>
        <v>0</v>
      </c>
      <c r="V16" s="65">
        <f t="shared" si="6"/>
        <v>0</v>
      </c>
      <c r="W16" s="68">
        <f t="shared" si="7"/>
        <v>0</v>
      </c>
      <c r="X16" s="3"/>
      <c r="Y16" s="78">
        <f t="shared" si="29"/>
        <v>1991</v>
      </c>
      <c r="Z16" s="78">
        <f t="shared" si="21"/>
        <v>0</v>
      </c>
      <c r="AA16" s="78" t="str">
        <f t="shared" si="8"/>
        <v/>
      </c>
      <c r="AB16" s="80">
        <v>2.6687586153753942</v>
      </c>
      <c r="AC16" s="81">
        <f t="shared" si="9"/>
        <v>0</v>
      </c>
      <c r="AD16" s="78">
        <f t="shared" si="10"/>
        <v>0</v>
      </c>
      <c r="AE16" s="78">
        <f t="shared" si="22"/>
        <v>0</v>
      </c>
      <c r="AF16" s="78">
        <f t="shared" si="30"/>
        <v>0</v>
      </c>
      <c r="AG16" s="82">
        <v>0.12</v>
      </c>
      <c r="AH16" s="81">
        <f t="shared" si="12"/>
        <v>0</v>
      </c>
      <c r="AI16" s="78">
        <f t="shared" si="13"/>
        <v>0</v>
      </c>
      <c r="AJ16" s="81">
        <f t="shared" si="23"/>
        <v>0</v>
      </c>
      <c r="AK16" s="81">
        <f t="shared" si="14"/>
        <v>0</v>
      </c>
      <c r="AL16" s="80">
        <f t="shared" si="24"/>
        <v>0</v>
      </c>
      <c r="AM16" s="80">
        <f t="shared" si="25"/>
        <v>0</v>
      </c>
      <c r="AN16" s="80">
        <f t="shared" si="26"/>
        <v>0</v>
      </c>
      <c r="AO16" s="83">
        <f t="shared" si="27"/>
        <v>0</v>
      </c>
      <c r="AP16" s="3"/>
      <c r="AW16" s="103" t="str">
        <f t="shared" si="0"/>
        <v/>
      </c>
    </row>
    <row r="17" spans="1:49">
      <c r="A17" s="37" t="s">
        <v>44</v>
      </c>
      <c r="B17" s="38"/>
      <c r="C17" s="150">
        <f>(D15-D14)/D14</f>
        <v>4.7000181096841211E-2</v>
      </c>
      <c r="H17" s="63">
        <f t="shared" si="28"/>
        <v>1992</v>
      </c>
      <c r="I17" s="63">
        <f t="shared" si="1"/>
        <v>0</v>
      </c>
      <c r="J17" s="65">
        <v>-0.4677899649941657</v>
      </c>
      <c r="K17" s="66">
        <f t="shared" si="2"/>
        <v>0</v>
      </c>
      <c r="L17" s="63">
        <f t="shared" si="15"/>
        <v>0</v>
      </c>
      <c r="M17" s="63">
        <f t="shared" si="16"/>
        <v>0</v>
      </c>
      <c r="N17" s="63">
        <f t="shared" si="3"/>
        <v>0</v>
      </c>
      <c r="O17" s="67">
        <v>0.11</v>
      </c>
      <c r="P17" s="66">
        <f t="shared" si="4"/>
        <v>0</v>
      </c>
      <c r="Q17" s="63">
        <f t="shared" si="17"/>
        <v>0</v>
      </c>
      <c r="R17" s="66">
        <f t="shared" si="18"/>
        <v>0</v>
      </c>
      <c r="S17" s="66">
        <f t="shared" si="5"/>
        <v>0</v>
      </c>
      <c r="T17" s="65">
        <f t="shared" si="19"/>
        <v>0</v>
      </c>
      <c r="U17" s="65">
        <f t="shared" si="20"/>
        <v>0</v>
      </c>
      <c r="V17" s="65">
        <f t="shared" si="6"/>
        <v>0</v>
      </c>
      <c r="W17" s="68">
        <f t="shared" si="7"/>
        <v>0</v>
      </c>
      <c r="X17" s="3"/>
      <c r="Y17" s="78">
        <f t="shared" si="29"/>
        <v>1992</v>
      </c>
      <c r="Z17" s="78">
        <f t="shared" si="21"/>
        <v>0</v>
      </c>
      <c r="AA17" s="78" t="str">
        <f t="shared" si="8"/>
        <v/>
      </c>
      <c r="AB17" s="80">
        <v>-0.4677899649941657</v>
      </c>
      <c r="AC17" s="81">
        <f t="shared" si="9"/>
        <v>0</v>
      </c>
      <c r="AD17" s="78">
        <f t="shared" si="10"/>
        <v>0</v>
      </c>
      <c r="AE17" s="78">
        <f t="shared" si="22"/>
        <v>0</v>
      </c>
      <c r="AF17" s="78">
        <f t="shared" si="30"/>
        <v>0</v>
      </c>
      <c r="AG17" s="82">
        <v>0.11</v>
      </c>
      <c r="AH17" s="81">
        <f t="shared" si="12"/>
        <v>0</v>
      </c>
      <c r="AI17" s="78">
        <f t="shared" si="13"/>
        <v>0</v>
      </c>
      <c r="AJ17" s="81">
        <f t="shared" si="23"/>
        <v>0</v>
      </c>
      <c r="AK17" s="81">
        <f t="shared" si="14"/>
        <v>0</v>
      </c>
      <c r="AL17" s="80">
        <f t="shared" si="24"/>
        <v>0</v>
      </c>
      <c r="AM17" s="80">
        <f t="shared" si="25"/>
        <v>0</v>
      </c>
      <c r="AN17" s="80">
        <f t="shared" si="26"/>
        <v>0</v>
      </c>
      <c r="AO17" s="83">
        <f t="shared" si="27"/>
        <v>0</v>
      </c>
      <c r="AP17" s="3"/>
      <c r="AW17" s="103" t="str">
        <f t="shared" si="0"/>
        <v/>
      </c>
    </row>
    <row r="18" spans="1:49" ht="15" thickBot="1">
      <c r="A18" s="205" t="s">
        <v>122</v>
      </c>
      <c r="B18" s="205"/>
      <c r="C18" s="205"/>
      <c r="H18" s="63">
        <f t="shared" si="28"/>
        <v>1993</v>
      </c>
      <c r="I18" s="63">
        <f t="shared" si="1"/>
        <v>0</v>
      </c>
      <c r="J18" s="65">
        <v>0.65707382526792135</v>
      </c>
      <c r="K18" s="66">
        <f t="shared" si="2"/>
        <v>0</v>
      </c>
      <c r="L18" s="63">
        <f t="shared" si="15"/>
        <v>0</v>
      </c>
      <c r="M18" s="63">
        <f t="shared" si="16"/>
        <v>0</v>
      </c>
      <c r="N18" s="63">
        <f t="shared" si="3"/>
        <v>0</v>
      </c>
      <c r="O18" s="67">
        <v>0.1</v>
      </c>
      <c r="P18" s="66">
        <f t="shared" si="4"/>
        <v>0</v>
      </c>
      <c r="Q18" s="63">
        <f t="shared" si="17"/>
        <v>0</v>
      </c>
      <c r="R18" s="66">
        <f t="shared" si="18"/>
        <v>0</v>
      </c>
      <c r="S18" s="66">
        <f t="shared" si="5"/>
        <v>0</v>
      </c>
      <c r="T18" s="65">
        <f t="shared" si="19"/>
        <v>0</v>
      </c>
      <c r="U18" s="65">
        <f t="shared" si="20"/>
        <v>0</v>
      </c>
      <c r="V18" s="65">
        <f t="shared" si="6"/>
        <v>0</v>
      </c>
      <c r="W18" s="68">
        <f t="shared" si="7"/>
        <v>0</v>
      </c>
      <c r="X18" s="3"/>
      <c r="Y18" s="78">
        <f t="shared" si="29"/>
        <v>1993</v>
      </c>
      <c r="Z18" s="78">
        <f t="shared" si="21"/>
        <v>0</v>
      </c>
      <c r="AA18" s="78" t="str">
        <f t="shared" si="8"/>
        <v/>
      </c>
      <c r="AB18" s="80">
        <v>0.65707382526792135</v>
      </c>
      <c r="AC18" s="81">
        <f t="shared" si="9"/>
        <v>0</v>
      </c>
      <c r="AD18" s="78">
        <f t="shared" si="10"/>
        <v>0</v>
      </c>
      <c r="AE18" s="78">
        <f t="shared" si="22"/>
        <v>0</v>
      </c>
      <c r="AF18" s="78">
        <f t="shared" si="30"/>
        <v>0</v>
      </c>
      <c r="AG18" s="82">
        <v>0.1</v>
      </c>
      <c r="AH18" s="81">
        <f t="shared" si="12"/>
        <v>0</v>
      </c>
      <c r="AI18" s="78">
        <f t="shared" si="13"/>
        <v>0</v>
      </c>
      <c r="AJ18" s="81">
        <f t="shared" si="23"/>
        <v>0</v>
      </c>
      <c r="AK18" s="81">
        <f t="shared" si="14"/>
        <v>0</v>
      </c>
      <c r="AL18" s="80">
        <f t="shared" si="24"/>
        <v>0</v>
      </c>
      <c r="AM18" s="80">
        <f t="shared" si="25"/>
        <v>0</v>
      </c>
      <c r="AN18" s="80">
        <f t="shared" si="26"/>
        <v>0</v>
      </c>
      <c r="AO18" s="83">
        <f t="shared" si="27"/>
        <v>0</v>
      </c>
      <c r="AP18" s="3"/>
      <c r="AW18" s="96"/>
    </row>
    <row r="19" spans="1:49">
      <c r="A19" s="201" t="s">
        <v>119</v>
      </c>
      <c r="B19" s="202"/>
      <c r="C19" s="202"/>
      <c r="D19" s="142"/>
      <c r="E19" s="124"/>
      <c r="F19" s="8"/>
      <c r="H19" s="63">
        <f t="shared" si="28"/>
        <v>1994</v>
      </c>
      <c r="I19" s="63">
        <f t="shared" si="1"/>
        <v>0</v>
      </c>
      <c r="J19" s="65">
        <v>-0.13708160116856616</v>
      </c>
      <c r="K19" s="66">
        <f t="shared" si="2"/>
        <v>0</v>
      </c>
      <c r="L19" s="63">
        <f t="shared" si="15"/>
        <v>0</v>
      </c>
      <c r="M19" s="63">
        <f t="shared" si="16"/>
        <v>0</v>
      </c>
      <c r="N19" s="63">
        <f t="shared" si="3"/>
        <v>0</v>
      </c>
      <c r="O19" s="67">
        <v>0.11</v>
      </c>
      <c r="P19" s="66">
        <f t="shared" si="4"/>
        <v>0</v>
      </c>
      <c r="Q19" s="63">
        <f t="shared" si="17"/>
        <v>0</v>
      </c>
      <c r="R19" s="66">
        <f t="shared" si="18"/>
        <v>0</v>
      </c>
      <c r="S19" s="66">
        <f t="shared" si="5"/>
        <v>0</v>
      </c>
      <c r="T19" s="65">
        <f t="shared" si="19"/>
        <v>0</v>
      </c>
      <c r="U19" s="65">
        <f t="shared" si="20"/>
        <v>0</v>
      </c>
      <c r="V19" s="65">
        <f t="shared" si="6"/>
        <v>0</v>
      </c>
      <c r="W19" s="68">
        <f t="shared" si="7"/>
        <v>0</v>
      </c>
      <c r="X19" s="3"/>
      <c r="Y19" s="78">
        <f t="shared" si="29"/>
        <v>1994</v>
      </c>
      <c r="Z19" s="78">
        <f t="shared" si="21"/>
        <v>0</v>
      </c>
      <c r="AA19" s="78" t="str">
        <f t="shared" si="8"/>
        <v/>
      </c>
      <c r="AB19" s="80">
        <v>-0.13708160116856616</v>
      </c>
      <c r="AC19" s="81">
        <f t="shared" si="9"/>
        <v>0</v>
      </c>
      <c r="AD19" s="78">
        <f t="shared" si="10"/>
        <v>0</v>
      </c>
      <c r="AE19" s="78">
        <f t="shared" si="22"/>
        <v>0</v>
      </c>
      <c r="AF19" s="78">
        <f t="shared" si="30"/>
        <v>0</v>
      </c>
      <c r="AG19" s="82">
        <v>0.11</v>
      </c>
      <c r="AH19" s="81">
        <f t="shared" si="12"/>
        <v>0</v>
      </c>
      <c r="AI19" s="78">
        <f t="shared" si="13"/>
        <v>0</v>
      </c>
      <c r="AJ19" s="81">
        <f t="shared" si="23"/>
        <v>0</v>
      </c>
      <c r="AK19" s="81">
        <f t="shared" si="14"/>
        <v>0</v>
      </c>
      <c r="AL19" s="80">
        <f t="shared" si="24"/>
        <v>0</v>
      </c>
      <c r="AM19" s="80">
        <f t="shared" si="25"/>
        <v>0</v>
      </c>
      <c r="AN19" s="80">
        <f t="shared" si="26"/>
        <v>0</v>
      </c>
      <c r="AO19" s="83">
        <f t="shared" si="27"/>
        <v>0</v>
      </c>
      <c r="AP19" s="3"/>
    </row>
    <row r="20" spans="1:49">
      <c r="A20" s="203" t="s">
        <v>120</v>
      </c>
      <c r="B20" s="204"/>
      <c r="C20" s="204"/>
      <c r="D20" s="143"/>
      <c r="E20" s="125"/>
      <c r="H20" s="63">
        <f t="shared" si="28"/>
        <v>1995</v>
      </c>
      <c r="I20" s="63">
        <f t="shared" si="1"/>
        <v>0</v>
      </c>
      <c r="J20" s="65">
        <v>3.2398434816741109E-2</v>
      </c>
      <c r="K20" s="66">
        <f t="shared" si="2"/>
        <v>0</v>
      </c>
      <c r="L20" s="63">
        <f t="shared" si="15"/>
        <v>0</v>
      </c>
      <c r="M20" s="63">
        <f t="shared" si="16"/>
        <v>0</v>
      </c>
      <c r="N20" s="63">
        <f t="shared" si="3"/>
        <v>0</v>
      </c>
      <c r="O20" s="67">
        <v>0.12</v>
      </c>
      <c r="P20" s="66">
        <f t="shared" si="4"/>
        <v>0</v>
      </c>
      <c r="Q20" s="63">
        <f t="shared" si="17"/>
        <v>0</v>
      </c>
      <c r="R20" s="66">
        <f t="shared" si="18"/>
        <v>0</v>
      </c>
      <c r="S20" s="66">
        <f t="shared" si="5"/>
        <v>0</v>
      </c>
      <c r="T20" s="65">
        <f t="shared" si="19"/>
        <v>0</v>
      </c>
      <c r="U20" s="65">
        <f t="shared" si="20"/>
        <v>0</v>
      </c>
      <c r="V20" s="65">
        <f t="shared" si="6"/>
        <v>0</v>
      </c>
      <c r="W20" s="68">
        <f t="shared" si="7"/>
        <v>0</v>
      </c>
      <c r="X20" s="3"/>
      <c r="Y20" s="78">
        <f t="shared" si="29"/>
        <v>1995</v>
      </c>
      <c r="Z20" s="78">
        <f t="shared" si="21"/>
        <v>0</v>
      </c>
      <c r="AA20" s="78" t="str">
        <f t="shared" si="8"/>
        <v/>
      </c>
      <c r="AB20" s="80">
        <v>3.2398434816741109E-2</v>
      </c>
      <c r="AC20" s="81">
        <f t="shared" si="9"/>
        <v>0</v>
      </c>
      <c r="AD20" s="78">
        <f t="shared" si="10"/>
        <v>0</v>
      </c>
      <c r="AE20" s="78">
        <f t="shared" si="22"/>
        <v>0</v>
      </c>
      <c r="AF20" s="78">
        <f t="shared" si="30"/>
        <v>0</v>
      </c>
      <c r="AG20" s="82">
        <v>0.12</v>
      </c>
      <c r="AH20" s="81">
        <f t="shared" si="12"/>
        <v>0</v>
      </c>
      <c r="AI20" s="78">
        <f t="shared" si="13"/>
        <v>0</v>
      </c>
      <c r="AJ20" s="81">
        <f t="shared" si="23"/>
        <v>0</v>
      </c>
      <c r="AK20" s="81">
        <f t="shared" si="14"/>
        <v>0</v>
      </c>
      <c r="AL20" s="80">
        <f t="shared" si="24"/>
        <v>0</v>
      </c>
      <c r="AM20" s="80">
        <f t="shared" si="25"/>
        <v>0</v>
      </c>
      <c r="AN20" s="80">
        <f t="shared" si="26"/>
        <v>0</v>
      </c>
      <c r="AO20" s="83">
        <f t="shared" si="27"/>
        <v>0</v>
      </c>
      <c r="AP20" s="3"/>
    </row>
    <row r="21" spans="1:49">
      <c r="A21" s="203" t="s">
        <v>121</v>
      </c>
      <c r="B21" s="204"/>
      <c r="C21" s="204"/>
      <c r="D21" s="143"/>
      <c r="E21" s="125"/>
      <c r="H21" s="63">
        <f t="shared" si="28"/>
        <v>1996</v>
      </c>
      <c r="I21" s="63">
        <f t="shared" si="1"/>
        <v>0</v>
      </c>
      <c r="J21" s="65">
        <v>-1.6990384986678749E-3</v>
      </c>
      <c r="K21" s="66">
        <f t="shared" si="2"/>
        <v>0</v>
      </c>
      <c r="L21" s="63">
        <f t="shared" si="15"/>
        <v>0</v>
      </c>
      <c r="M21" s="63">
        <f t="shared" si="16"/>
        <v>0</v>
      </c>
      <c r="N21" s="63">
        <f t="shared" si="3"/>
        <v>0</v>
      </c>
      <c r="O21" s="67">
        <v>0.12</v>
      </c>
      <c r="P21" s="66">
        <f t="shared" si="4"/>
        <v>0</v>
      </c>
      <c r="Q21" s="63">
        <f t="shared" si="17"/>
        <v>0</v>
      </c>
      <c r="R21" s="66">
        <f t="shared" si="18"/>
        <v>0</v>
      </c>
      <c r="S21" s="66">
        <f t="shared" si="5"/>
        <v>0</v>
      </c>
      <c r="T21" s="65">
        <f t="shared" si="19"/>
        <v>0</v>
      </c>
      <c r="U21" s="65">
        <f t="shared" si="20"/>
        <v>0</v>
      </c>
      <c r="V21" s="65">
        <f t="shared" si="6"/>
        <v>0</v>
      </c>
      <c r="W21" s="68">
        <f t="shared" si="7"/>
        <v>0</v>
      </c>
      <c r="X21" s="3"/>
      <c r="Y21" s="78">
        <f t="shared" si="29"/>
        <v>1996</v>
      </c>
      <c r="Z21" s="78">
        <f t="shared" si="21"/>
        <v>0</v>
      </c>
      <c r="AA21" s="78" t="str">
        <f t="shared" si="8"/>
        <v/>
      </c>
      <c r="AB21" s="80">
        <v>-1.6990384986678749E-3</v>
      </c>
      <c r="AC21" s="81">
        <f t="shared" si="9"/>
        <v>0</v>
      </c>
      <c r="AD21" s="78">
        <f t="shared" si="10"/>
        <v>0</v>
      </c>
      <c r="AE21" s="78">
        <f t="shared" si="22"/>
        <v>0</v>
      </c>
      <c r="AF21" s="78">
        <f t="shared" si="30"/>
        <v>0</v>
      </c>
      <c r="AG21" s="82">
        <v>0.12</v>
      </c>
      <c r="AH21" s="81">
        <f t="shared" si="12"/>
        <v>0</v>
      </c>
      <c r="AI21" s="78">
        <f t="shared" si="13"/>
        <v>0</v>
      </c>
      <c r="AJ21" s="81">
        <f t="shared" si="23"/>
        <v>0</v>
      </c>
      <c r="AK21" s="81">
        <f t="shared" si="14"/>
        <v>0</v>
      </c>
      <c r="AL21" s="80">
        <f t="shared" si="24"/>
        <v>0</v>
      </c>
      <c r="AM21" s="80">
        <f t="shared" si="25"/>
        <v>0</v>
      </c>
      <c r="AN21" s="80">
        <f t="shared" si="26"/>
        <v>0</v>
      </c>
      <c r="AO21" s="83">
        <f t="shared" si="27"/>
        <v>0</v>
      </c>
      <c r="AP21" s="3"/>
    </row>
    <row r="22" spans="1:49" ht="15" thickBot="1">
      <c r="A22" s="160">
        <f>D3</f>
        <v>1980</v>
      </c>
      <c r="B22" s="144" t="s">
        <v>11</v>
      </c>
      <c r="C22" s="161">
        <f>F3</f>
        <v>2002</v>
      </c>
      <c r="D22" s="145"/>
      <c r="E22" s="126"/>
      <c r="H22" s="63">
        <f t="shared" si="28"/>
        <v>1997</v>
      </c>
      <c r="I22" s="63">
        <f t="shared" si="1"/>
        <v>0</v>
      </c>
      <c r="J22" s="65">
        <v>0.15824974932235217</v>
      </c>
      <c r="K22" s="66">
        <f t="shared" si="2"/>
        <v>0</v>
      </c>
      <c r="L22" s="63">
        <f t="shared" si="15"/>
        <v>0</v>
      </c>
      <c r="M22" s="63">
        <f t="shared" si="16"/>
        <v>0</v>
      </c>
      <c r="N22" s="63">
        <f t="shared" si="3"/>
        <v>0</v>
      </c>
      <c r="O22" s="67">
        <v>0.11</v>
      </c>
      <c r="P22" s="66">
        <f t="shared" si="4"/>
        <v>0</v>
      </c>
      <c r="Q22" s="63">
        <f t="shared" si="17"/>
        <v>0</v>
      </c>
      <c r="R22" s="66">
        <f t="shared" si="18"/>
        <v>0</v>
      </c>
      <c r="S22" s="66">
        <f t="shared" si="5"/>
        <v>0</v>
      </c>
      <c r="T22" s="65">
        <f t="shared" si="19"/>
        <v>0</v>
      </c>
      <c r="U22" s="65">
        <f t="shared" si="20"/>
        <v>0</v>
      </c>
      <c r="V22" s="65">
        <f t="shared" si="6"/>
        <v>0</v>
      </c>
      <c r="W22" s="68">
        <f t="shared" si="7"/>
        <v>0</v>
      </c>
      <c r="X22" s="3"/>
      <c r="Y22" s="78">
        <f t="shared" si="29"/>
        <v>1997</v>
      </c>
      <c r="Z22" s="78">
        <f t="shared" si="21"/>
        <v>0</v>
      </c>
      <c r="AA22" s="78" t="str">
        <f t="shared" si="8"/>
        <v/>
      </c>
      <c r="AB22" s="80">
        <v>0.15824974932235217</v>
      </c>
      <c r="AC22" s="81">
        <f t="shared" si="9"/>
        <v>0</v>
      </c>
      <c r="AD22" s="78">
        <f t="shared" si="10"/>
        <v>0</v>
      </c>
      <c r="AE22" s="78">
        <f t="shared" si="22"/>
        <v>0</v>
      </c>
      <c r="AF22" s="78">
        <f t="shared" si="30"/>
        <v>0</v>
      </c>
      <c r="AG22" s="82">
        <v>0.11</v>
      </c>
      <c r="AH22" s="81">
        <f t="shared" si="12"/>
        <v>0</v>
      </c>
      <c r="AI22" s="78">
        <f t="shared" si="13"/>
        <v>0</v>
      </c>
      <c r="AJ22" s="81">
        <f t="shared" si="23"/>
        <v>0</v>
      </c>
      <c r="AK22" s="81">
        <f t="shared" si="14"/>
        <v>0</v>
      </c>
      <c r="AL22" s="80">
        <f t="shared" si="24"/>
        <v>0</v>
      </c>
      <c r="AM22" s="80">
        <f t="shared" si="25"/>
        <v>0</v>
      </c>
      <c r="AN22" s="80">
        <f t="shared" si="26"/>
        <v>0</v>
      </c>
      <c r="AO22" s="83">
        <f t="shared" si="27"/>
        <v>0</v>
      </c>
      <c r="AP22" s="3"/>
    </row>
    <row r="23" spans="1:49" ht="15" thickBot="1">
      <c r="A23" s="154" t="s">
        <v>127</v>
      </c>
      <c r="B23" s="10"/>
      <c r="C23" s="10"/>
      <c r="D23" s="159">
        <f>AVERAGE(B26:B48)</f>
        <v>5.3647526594508908E-2</v>
      </c>
      <c r="H23" s="63">
        <f t="shared" si="28"/>
        <v>1998</v>
      </c>
      <c r="I23" s="63">
        <f t="shared" si="1"/>
        <v>0</v>
      </c>
      <c r="J23" s="65">
        <v>-3.9249887611585633E-2</v>
      </c>
      <c r="K23" s="66">
        <f t="shared" si="2"/>
        <v>0</v>
      </c>
      <c r="L23" s="63">
        <f t="shared" si="15"/>
        <v>0</v>
      </c>
      <c r="M23" s="63">
        <f t="shared" si="16"/>
        <v>0</v>
      </c>
      <c r="N23" s="63">
        <f t="shared" si="3"/>
        <v>0</v>
      </c>
      <c r="O23" s="67">
        <v>0.105</v>
      </c>
      <c r="P23" s="66">
        <f t="shared" si="4"/>
        <v>0</v>
      </c>
      <c r="Q23" s="63">
        <f t="shared" si="17"/>
        <v>0</v>
      </c>
      <c r="R23" s="66">
        <f t="shared" si="18"/>
        <v>0</v>
      </c>
      <c r="S23" s="66">
        <f t="shared" si="5"/>
        <v>0</v>
      </c>
      <c r="T23" s="65">
        <f t="shared" si="19"/>
        <v>0</v>
      </c>
      <c r="U23" s="65">
        <f t="shared" si="20"/>
        <v>0</v>
      </c>
      <c r="V23" s="65">
        <f t="shared" si="6"/>
        <v>0</v>
      </c>
      <c r="W23" s="68">
        <f t="shared" si="7"/>
        <v>0</v>
      </c>
      <c r="X23" s="3"/>
      <c r="Y23" s="78">
        <f t="shared" si="29"/>
        <v>1998</v>
      </c>
      <c r="Z23" s="78">
        <f t="shared" si="21"/>
        <v>0</v>
      </c>
      <c r="AA23" s="78" t="str">
        <f t="shared" si="8"/>
        <v/>
      </c>
      <c r="AB23" s="80">
        <v>-3.9249887611585633E-2</v>
      </c>
      <c r="AC23" s="81">
        <f t="shared" si="9"/>
        <v>0</v>
      </c>
      <c r="AD23" s="78">
        <f t="shared" si="10"/>
        <v>0</v>
      </c>
      <c r="AE23" s="78">
        <f t="shared" si="22"/>
        <v>0</v>
      </c>
      <c r="AF23" s="78">
        <f t="shared" si="30"/>
        <v>0</v>
      </c>
      <c r="AG23" s="82">
        <v>0.105</v>
      </c>
      <c r="AH23" s="81">
        <f t="shared" si="12"/>
        <v>0</v>
      </c>
      <c r="AI23" s="78">
        <f t="shared" si="13"/>
        <v>0</v>
      </c>
      <c r="AJ23" s="81">
        <f t="shared" si="23"/>
        <v>0</v>
      </c>
      <c r="AK23" s="81">
        <f t="shared" si="14"/>
        <v>0</v>
      </c>
      <c r="AL23" s="80">
        <f t="shared" si="24"/>
        <v>0</v>
      </c>
      <c r="AM23" s="80">
        <f t="shared" si="25"/>
        <v>0</v>
      </c>
      <c r="AN23" s="80">
        <f t="shared" si="26"/>
        <v>0</v>
      </c>
      <c r="AO23" s="83">
        <f t="shared" si="27"/>
        <v>0</v>
      </c>
      <c r="AP23" s="3"/>
    </row>
    <row r="24" spans="1:49">
      <c r="H24" s="63">
        <f t="shared" si="28"/>
        <v>1999</v>
      </c>
      <c r="I24" s="63">
        <f t="shared" si="1"/>
        <v>0</v>
      </c>
      <c r="J24" s="65">
        <v>0.33725494390314326</v>
      </c>
      <c r="K24" s="66">
        <f t="shared" si="2"/>
        <v>0</v>
      </c>
      <c r="L24" s="63">
        <f t="shared" si="15"/>
        <v>0</v>
      </c>
      <c r="M24" s="63">
        <f t="shared" si="16"/>
        <v>0</v>
      </c>
      <c r="N24" s="63">
        <f t="shared" si="3"/>
        <v>0</v>
      </c>
      <c r="O24" s="67">
        <v>8.5000000000000006E-2</v>
      </c>
      <c r="P24" s="66">
        <f t="shared" si="4"/>
        <v>0</v>
      </c>
      <c r="Q24" s="63">
        <f t="shared" si="17"/>
        <v>0</v>
      </c>
      <c r="R24" s="66">
        <f t="shared" si="18"/>
        <v>0</v>
      </c>
      <c r="S24" s="66">
        <f t="shared" si="5"/>
        <v>0</v>
      </c>
      <c r="T24" s="65">
        <f t="shared" si="19"/>
        <v>0</v>
      </c>
      <c r="U24" s="65">
        <f t="shared" si="20"/>
        <v>0</v>
      </c>
      <c r="V24" s="65">
        <f t="shared" si="6"/>
        <v>0</v>
      </c>
      <c r="W24" s="68">
        <f t="shared" si="7"/>
        <v>0</v>
      </c>
      <c r="X24" s="3"/>
      <c r="Y24" s="78">
        <f t="shared" si="29"/>
        <v>1999</v>
      </c>
      <c r="Z24" s="78">
        <f t="shared" si="21"/>
        <v>0</v>
      </c>
      <c r="AA24" s="78" t="str">
        <f t="shared" si="8"/>
        <v/>
      </c>
      <c r="AB24" s="80">
        <v>0.33725494390314326</v>
      </c>
      <c r="AC24" s="81">
        <f t="shared" si="9"/>
        <v>0</v>
      </c>
      <c r="AD24" s="78">
        <f t="shared" si="10"/>
        <v>0</v>
      </c>
      <c r="AE24" s="78">
        <f t="shared" si="22"/>
        <v>0</v>
      </c>
      <c r="AF24" s="78">
        <f t="shared" si="30"/>
        <v>0</v>
      </c>
      <c r="AG24" s="82">
        <v>8.5000000000000006E-2</v>
      </c>
      <c r="AH24" s="81">
        <f t="shared" si="12"/>
        <v>0</v>
      </c>
      <c r="AI24" s="78">
        <f t="shared" si="13"/>
        <v>0</v>
      </c>
      <c r="AJ24" s="81">
        <f t="shared" si="23"/>
        <v>0</v>
      </c>
      <c r="AK24" s="81">
        <f t="shared" si="14"/>
        <v>0</v>
      </c>
      <c r="AL24" s="80">
        <f t="shared" si="24"/>
        <v>0</v>
      </c>
      <c r="AM24" s="80">
        <f t="shared" si="25"/>
        <v>0</v>
      </c>
      <c r="AN24" s="80">
        <f t="shared" si="26"/>
        <v>0</v>
      </c>
      <c r="AO24" s="83">
        <f t="shared" si="27"/>
        <v>0</v>
      </c>
      <c r="AP24" s="3"/>
    </row>
    <row r="25" spans="1:49">
      <c r="A25" s="123" t="s">
        <v>0</v>
      </c>
      <c r="B25" s="123" t="s">
        <v>118</v>
      </c>
      <c r="C25" s="151"/>
      <c r="D25" s="151"/>
      <c r="H25" s="63">
        <f t="shared" si="28"/>
        <v>2000</v>
      </c>
      <c r="I25" s="63">
        <f t="shared" si="1"/>
        <v>0</v>
      </c>
      <c r="J25" s="65">
        <v>-0.27930849702476163</v>
      </c>
      <c r="K25" s="66">
        <f t="shared" si="2"/>
        <v>0</v>
      </c>
      <c r="L25" s="63">
        <f t="shared" si="15"/>
        <v>0</v>
      </c>
      <c r="M25" s="63">
        <f t="shared" si="16"/>
        <v>0</v>
      </c>
      <c r="N25" s="63">
        <f t="shared" si="3"/>
        <v>0</v>
      </c>
      <c r="O25" s="67">
        <v>8.5000000000000006E-2</v>
      </c>
      <c r="P25" s="66">
        <f t="shared" si="4"/>
        <v>0</v>
      </c>
      <c r="Q25" s="63">
        <f t="shared" si="17"/>
        <v>0</v>
      </c>
      <c r="R25" s="66">
        <f t="shared" si="18"/>
        <v>0</v>
      </c>
      <c r="S25" s="66">
        <f t="shared" si="5"/>
        <v>0</v>
      </c>
      <c r="T25" s="65">
        <f t="shared" si="19"/>
        <v>0</v>
      </c>
      <c r="U25" s="65">
        <f t="shared" si="20"/>
        <v>0</v>
      </c>
      <c r="V25" s="65">
        <f t="shared" si="6"/>
        <v>0</v>
      </c>
      <c r="W25" s="68">
        <f t="shared" si="7"/>
        <v>0</v>
      </c>
      <c r="X25" s="3"/>
      <c r="Y25" s="78">
        <f t="shared" si="29"/>
        <v>2000</v>
      </c>
      <c r="Z25" s="78">
        <f t="shared" si="21"/>
        <v>0</v>
      </c>
      <c r="AA25" s="78" t="str">
        <f t="shared" si="8"/>
        <v/>
      </c>
      <c r="AB25" s="80">
        <v>-0.27930849702476163</v>
      </c>
      <c r="AC25" s="81">
        <f t="shared" si="9"/>
        <v>0</v>
      </c>
      <c r="AD25" s="78">
        <f t="shared" si="10"/>
        <v>0</v>
      </c>
      <c r="AE25" s="78">
        <f t="shared" si="22"/>
        <v>0</v>
      </c>
      <c r="AF25" s="78">
        <f t="shared" si="30"/>
        <v>0</v>
      </c>
      <c r="AG25" s="82">
        <v>8.5000000000000006E-2</v>
      </c>
      <c r="AH25" s="81">
        <f t="shared" si="12"/>
        <v>0</v>
      </c>
      <c r="AI25" s="78">
        <f t="shared" si="13"/>
        <v>0</v>
      </c>
      <c r="AJ25" s="81">
        <f t="shared" si="23"/>
        <v>0</v>
      </c>
      <c r="AK25" s="81">
        <f t="shared" si="14"/>
        <v>0</v>
      </c>
      <c r="AL25" s="80">
        <f t="shared" si="24"/>
        <v>0</v>
      </c>
      <c r="AM25" s="80">
        <f t="shared" si="25"/>
        <v>0</v>
      </c>
      <c r="AN25" s="80">
        <f t="shared" si="26"/>
        <v>0</v>
      </c>
      <c r="AO25" s="83">
        <f t="shared" si="27"/>
        <v>0</v>
      </c>
      <c r="AP25" s="3"/>
    </row>
    <row r="26" spans="1:49">
      <c r="A26" s="119">
        <v>1980</v>
      </c>
      <c r="B26" s="129">
        <v>1.5325077140792098E-2</v>
      </c>
      <c r="C26" s="152"/>
      <c r="D26" s="147"/>
      <c r="H26" s="63">
        <f t="shared" si="28"/>
        <v>2001</v>
      </c>
      <c r="I26" s="63">
        <f t="shared" si="1"/>
        <v>0</v>
      </c>
      <c r="J26" s="65">
        <v>-3.7462753649726219E-2</v>
      </c>
      <c r="K26" s="66">
        <f t="shared" si="2"/>
        <v>0</v>
      </c>
      <c r="L26" s="63">
        <f t="shared" si="15"/>
        <v>0</v>
      </c>
      <c r="M26" s="63">
        <f t="shared" si="16"/>
        <v>0</v>
      </c>
      <c r="N26" s="63">
        <f t="shared" si="3"/>
        <v>0</v>
      </c>
      <c r="O26" s="67">
        <v>7.4999999999999997E-2</v>
      </c>
      <c r="P26" s="66">
        <f t="shared" si="4"/>
        <v>0</v>
      </c>
      <c r="Q26" s="63">
        <f t="shared" si="17"/>
        <v>0</v>
      </c>
      <c r="R26" s="66">
        <f t="shared" si="18"/>
        <v>0</v>
      </c>
      <c r="S26" s="66">
        <f t="shared" si="5"/>
        <v>0</v>
      </c>
      <c r="T26" s="65">
        <f t="shared" si="19"/>
        <v>0</v>
      </c>
      <c r="U26" s="65">
        <f t="shared" si="20"/>
        <v>0</v>
      </c>
      <c r="V26" s="65">
        <f t="shared" si="6"/>
        <v>0</v>
      </c>
      <c r="W26" s="68">
        <f t="shared" si="7"/>
        <v>0</v>
      </c>
      <c r="X26" s="3"/>
      <c r="Y26" s="78">
        <f t="shared" si="29"/>
        <v>2001</v>
      </c>
      <c r="Z26" s="78">
        <f t="shared" si="21"/>
        <v>0</v>
      </c>
      <c r="AA26" s="78" t="str">
        <f t="shared" si="8"/>
        <v/>
      </c>
      <c r="AB26" s="80">
        <v>-3.7462753649726219E-2</v>
      </c>
      <c r="AC26" s="81">
        <f t="shared" si="9"/>
        <v>0</v>
      </c>
      <c r="AD26" s="78">
        <f t="shared" si="10"/>
        <v>0</v>
      </c>
      <c r="AE26" s="78">
        <f t="shared" si="22"/>
        <v>0</v>
      </c>
      <c r="AF26" s="78">
        <f t="shared" si="30"/>
        <v>0</v>
      </c>
      <c r="AG26" s="82">
        <v>7.4999999999999997E-2</v>
      </c>
      <c r="AH26" s="81">
        <f t="shared" si="12"/>
        <v>0</v>
      </c>
      <c r="AI26" s="78">
        <f t="shared" si="13"/>
        <v>0</v>
      </c>
      <c r="AJ26" s="81">
        <f t="shared" si="23"/>
        <v>0</v>
      </c>
      <c r="AK26" s="81">
        <f t="shared" si="14"/>
        <v>0</v>
      </c>
      <c r="AL26" s="80">
        <f t="shared" si="24"/>
        <v>0</v>
      </c>
      <c r="AM26" s="80">
        <f t="shared" si="25"/>
        <v>0</v>
      </c>
      <c r="AN26" s="80">
        <f t="shared" si="26"/>
        <v>0</v>
      </c>
      <c r="AO26" s="83">
        <f t="shared" si="27"/>
        <v>0</v>
      </c>
      <c r="AP26" s="3"/>
    </row>
    <row r="27" spans="1:49">
      <c r="A27" s="119">
        <v>1981</v>
      </c>
      <c r="B27" s="129">
        <v>-1.2503874279690578E-2</v>
      </c>
      <c r="C27" s="152"/>
      <c r="D27" s="147"/>
      <c r="H27" s="63">
        <f t="shared" si="28"/>
        <v>2002</v>
      </c>
      <c r="I27" s="63">
        <f t="shared" si="1"/>
        <v>1</v>
      </c>
      <c r="J27" s="65">
        <v>-0.12124173116001562</v>
      </c>
      <c r="K27" s="66">
        <f t="shared" si="2"/>
        <v>60000</v>
      </c>
      <c r="L27" s="63">
        <f t="shared" si="15"/>
        <v>0</v>
      </c>
      <c r="M27" s="63">
        <f t="shared" si="16"/>
        <v>52725.496130399064</v>
      </c>
      <c r="N27" s="63">
        <f t="shared" si="3"/>
        <v>0</v>
      </c>
      <c r="O27" s="67">
        <v>4.2500000000000003E-2</v>
      </c>
      <c r="P27" s="66">
        <f t="shared" si="4"/>
        <v>60000</v>
      </c>
      <c r="Q27" s="63">
        <f t="shared" si="17"/>
        <v>0</v>
      </c>
      <c r="R27" s="66">
        <f t="shared" si="18"/>
        <v>62550</v>
      </c>
      <c r="S27" s="66">
        <f t="shared" si="5"/>
        <v>0</v>
      </c>
      <c r="T27" s="65">
        <f t="shared" si="19"/>
        <v>0.5</v>
      </c>
      <c r="U27" s="65">
        <f t="shared" si="20"/>
        <v>0.5</v>
      </c>
      <c r="V27" s="65">
        <f t="shared" si="6"/>
        <v>0.45738685063438156</v>
      </c>
      <c r="W27" s="68">
        <f t="shared" si="7"/>
        <v>0.54261314936561844</v>
      </c>
      <c r="X27" s="3"/>
      <c r="Y27" s="78">
        <f t="shared" si="29"/>
        <v>2002</v>
      </c>
      <c r="Z27" s="78">
        <f t="shared" si="21"/>
        <v>1</v>
      </c>
      <c r="AA27" s="78">
        <f t="shared" si="8"/>
        <v>0</v>
      </c>
      <c r="AB27" s="80">
        <v>-0.12124173116001562</v>
      </c>
      <c r="AC27" s="81">
        <f t="shared" si="9"/>
        <v>60000</v>
      </c>
      <c r="AD27" s="78">
        <f t="shared" si="10"/>
        <v>0</v>
      </c>
      <c r="AE27" s="78">
        <f t="shared" si="22"/>
        <v>52725.496130399064</v>
      </c>
      <c r="AF27" s="78">
        <f t="shared" si="30"/>
        <v>0</v>
      </c>
      <c r="AG27" s="82">
        <v>4.2500000000000003E-2</v>
      </c>
      <c r="AH27" s="81">
        <f t="shared" si="12"/>
        <v>60000</v>
      </c>
      <c r="AI27" s="78">
        <f t="shared" si="13"/>
        <v>0</v>
      </c>
      <c r="AJ27" s="81">
        <f t="shared" si="23"/>
        <v>62550</v>
      </c>
      <c r="AK27" s="81">
        <f t="shared" si="14"/>
        <v>0</v>
      </c>
      <c r="AL27" s="80">
        <f t="shared" si="24"/>
        <v>0.5</v>
      </c>
      <c r="AM27" s="80">
        <f t="shared" si="25"/>
        <v>0.5</v>
      </c>
      <c r="AN27" s="80">
        <f t="shared" si="26"/>
        <v>0.45738685063438156</v>
      </c>
      <c r="AO27" s="83">
        <f t="shared" si="27"/>
        <v>0.54261314936561844</v>
      </c>
      <c r="AP27" s="3"/>
    </row>
    <row r="28" spans="1:49">
      <c r="A28" s="119">
        <v>1982</v>
      </c>
      <c r="B28" s="129">
        <v>-0.15737564058045814</v>
      </c>
      <c r="C28" s="152"/>
      <c r="D28" s="147"/>
      <c r="H28" s="63">
        <f t="shared" si="28"/>
        <v>2003</v>
      </c>
      <c r="I28" s="63">
        <f t="shared" si="1"/>
        <v>2</v>
      </c>
      <c r="J28" s="65">
        <v>0.8337531816631244</v>
      </c>
      <c r="K28" s="66">
        <f t="shared" si="2"/>
        <v>60000</v>
      </c>
      <c r="L28" s="63">
        <f t="shared" si="15"/>
        <v>52725.496130399064</v>
      </c>
      <c r="M28" s="63">
        <f t="shared" si="16"/>
        <v>206710.73718367348</v>
      </c>
      <c r="N28" s="63">
        <f t="shared" si="3"/>
        <v>0</v>
      </c>
      <c r="O28" s="67">
        <v>0.04</v>
      </c>
      <c r="P28" s="66">
        <f t="shared" si="4"/>
        <v>60000</v>
      </c>
      <c r="Q28" s="63">
        <f t="shared" si="17"/>
        <v>62550</v>
      </c>
      <c r="R28" s="66">
        <f t="shared" si="18"/>
        <v>127452</v>
      </c>
      <c r="S28" s="66">
        <f t="shared" si="5"/>
        <v>0</v>
      </c>
      <c r="T28" s="65">
        <f t="shared" si="19"/>
        <v>0.47912127690476569</v>
      </c>
      <c r="U28" s="65">
        <f t="shared" si="20"/>
        <v>0.52087872309523431</v>
      </c>
      <c r="V28" s="65">
        <f t="shared" si="6"/>
        <v>0.61859302125016513</v>
      </c>
      <c r="W28" s="68">
        <f t="shared" si="7"/>
        <v>0.38140697874983487</v>
      </c>
      <c r="X28" s="3"/>
      <c r="Y28" s="78">
        <f t="shared" si="29"/>
        <v>2003</v>
      </c>
      <c r="Z28" s="78">
        <f t="shared" si="21"/>
        <v>2</v>
      </c>
      <c r="AA28" s="78">
        <f t="shared" si="8"/>
        <v>0</v>
      </c>
      <c r="AB28" s="80">
        <v>0.8337531816631244</v>
      </c>
      <c r="AC28" s="81">
        <f t="shared" si="9"/>
        <v>60000</v>
      </c>
      <c r="AD28" s="78">
        <f t="shared" si="10"/>
        <v>57637.748065199528</v>
      </c>
      <c r="AE28" s="78">
        <f t="shared" si="22"/>
        <v>215718.59479824468</v>
      </c>
      <c r="AF28" s="78">
        <f t="shared" si="30"/>
        <v>0</v>
      </c>
      <c r="AG28" s="82">
        <v>0.04</v>
      </c>
      <c r="AH28" s="81">
        <f t="shared" si="12"/>
        <v>60000</v>
      </c>
      <c r="AI28" s="78">
        <f t="shared" si="13"/>
        <v>57637.748065199528</v>
      </c>
      <c r="AJ28" s="81">
        <f t="shared" si="23"/>
        <v>122343.25798780752</v>
      </c>
      <c r="AK28" s="81">
        <f t="shared" si="14"/>
        <v>0</v>
      </c>
      <c r="AL28" s="80">
        <f t="shared" si="24"/>
        <v>0.5</v>
      </c>
      <c r="AM28" s="80">
        <f t="shared" si="25"/>
        <v>0.5</v>
      </c>
      <c r="AN28" s="80">
        <f t="shared" si="26"/>
        <v>0.63810392394307092</v>
      </c>
      <c r="AO28" s="83">
        <f t="shared" si="27"/>
        <v>0.36189607605692908</v>
      </c>
      <c r="AP28" s="3"/>
    </row>
    <row r="29" spans="1:49">
      <c r="A29" s="119">
        <v>1983</v>
      </c>
      <c r="B29" s="129">
        <v>0.14056358666417243</v>
      </c>
      <c r="C29" s="152"/>
      <c r="D29" s="147"/>
      <c r="H29" s="63">
        <f t="shared" si="28"/>
        <v>2004</v>
      </c>
      <c r="I29" s="63">
        <f t="shared" si="1"/>
        <v>3</v>
      </c>
      <c r="J29" s="65">
        <v>0.16138160483669003</v>
      </c>
      <c r="K29" s="66">
        <f t="shared" si="2"/>
        <v>60000</v>
      </c>
      <c r="L29" s="63">
        <f t="shared" si="15"/>
        <v>206710.73718367348</v>
      </c>
      <c r="M29" s="63">
        <f t="shared" si="16"/>
        <v>309752.94397755136</v>
      </c>
      <c r="N29" s="63">
        <f t="shared" si="3"/>
        <v>0</v>
      </c>
      <c r="O29" s="67">
        <v>5.2499999999999998E-2</v>
      </c>
      <c r="P29" s="66">
        <f t="shared" si="4"/>
        <v>60000</v>
      </c>
      <c r="Q29" s="63">
        <f t="shared" si="17"/>
        <v>127452</v>
      </c>
      <c r="R29" s="66">
        <f t="shared" si="18"/>
        <v>197293.23</v>
      </c>
      <c r="S29" s="66">
        <f t="shared" si="5"/>
        <v>0</v>
      </c>
      <c r="T29" s="65">
        <f t="shared" si="19"/>
        <v>0.58725808030307369</v>
      </c>
      <c r="U29" s="65">
        <f t="shared" si="20"/>
        <v>0.41274191969692631</v>
      </c>
      <c r="V29" s="65">
        <f t="shared" si="6"/>
        <v>0.61089691604943486</v>
      </c>
      <c r="W29" s="68">
        <f t="shared" si="7"/>
        <v>0.38910308395056509</v>
      </c>
      <c r="X29" s="3"/>
      <c r="Y29" s="78">
        <f t="shared" si="29"/>
        <v>2004</v>
      </c>
      <c r="Z29" s="78">
        <f t="shared" si="21"/>
        <v>3</v>
      </c>
      <c r="AA29" s="78">
        <f t="shared" si="8"/>
        <v>0</v>
      </c>
      <c r="AB29" s="80">
        <v>0.16138160483669003</v>
      </c>
      <c r="AC29" s="81">
        <f t="shared" si="9"/>
        <v>60000</v>
      </c>
      <c r="AD29" s="78">
        <f t="shared" si="10"/>
        <v>169030.92639302611</v>
      </c>
      <c r="AE29" s="78">
        <f t="shared" si="22"/>
        <v>265992.3048515665</v>
      </c>
      <c r="AF29" s="78">
        <f t="shared" si="30"/>
        <v>0</v>
      </c>
      <c r="AG29" s="82">
        <v>5.2499999999999998E-2</v>
      </c>
      <c r="AH29" s="81">
        <f t="shared" si="12"/>
        <v>60000</v>
      </c>
      <c r="AI29" s="78">
        <f t="shared" si="13"/>
        <v>169030.92639302611</v>
      </c>
      <c r="AJ29" s="81">
        <f t="shared" si="23"/>
        <v>241055.05002865999</v>
      </c>
      <c r="AK29" s="81">
        <f t="shared" si="14"/>
        <v>0</v>
      </c>
      <c r="AL29" s="80">
        <f t="shared" si="24"/>
        <v>0.49999999999999994</v>
      </c>
      <c r="AM29" s="80">
        <f t="shared" si="25"/>
        <v>0.49999999999999994</v>
      </c>
      <c r="AN29" s="80">
        <f t="shared" si="26"/>
        <v>0.52459065665454174</v>
      </c>
      <c r="AO29" s="83">
        <f t="shared" si="27"/>
        <v>0.4754093433454582</v>
      </c>
      <c r="AP29" s="3"/>
    </row>
    <row r="30" spans="1:49">
      <c r="A30" s="119">
        <v>1984</v>
      </c>
      <c r="B30" s="129">
        <v>6.0190024363785212E-2</v>
      </c>
      <c r="C30" s="152"/>
      <c r="D30" s="147"/>
      <c r="H30" s="63">
        <f t="shared" si="28"/>
        <v>2005</v>
      </c>
      <c r="I30" s="63">
        <f t="shared" si="1"/>
        <v>4</v>
      </c>
      <c r="J30" s="65">
        <v>0.737303667743754</v>
      </c>
      <c r="K30" s="66">
        <f t="shared" si="2"/>
        <v>60000</v>
      </c>
      <c r="L30" s="63">
        <f t="shared" si="15"/>
        <v>309752.94397755136</v>
      </c>
      <c r="M30" s="63">
        <f t="shared" si="16"/>
        <v>642373.14573125076</v>
      </c>
      <c r="N30" s="63">
        <f t="shared" si="3"/>
        <v>0</v>
      </c>
      <c r="O30" s="67">
        <v>0.06</v>
      </c>
      <c r="P30" s="66">
        <f t="shared" si="4"/>
        <v>60000</v>
      </c>
      <c r="Q30" s="63">
        <f t="shared" si="17"/>
        <v>197293.23</v>
      </c>
      <c r="R30" s="66">
        <f t="shared" si="18"/>
        <v>272730.82380000001</v>
      </c>
      <c r="S30" s="66">
        <f t="shared" si="5"/>
        <v>0</v>
      </c>
      <c r="T30" s="65">
        <f t="shared" si="19"/>
        <v>0.5896741887955268</v>
      </c>
      <c r="U30" s="65">
        <f t="shared" si="20"/>
        <v>0.4103258112044732</v>
      </c>
      <c r="V30" s="65">
        <f t="shared" si="6"/>
        <v>0.70196739072205905</v>
      </c>
      <c r="W30" s="68">
        <f t="shared" si="7"/>
        <v>0.2980326092779409</v>
      </c>
      <c r="X30" s="3"/>
      <c r="Y30" s="78">
        <f t="shared" si="29"/>
        <v>2005</v>
      </c>
      <c r="Z30" s="78">
        <f t="shared" si="21"/>
        <v>4</v>
      </c>
      <c r="AA30" s="78">
        <f t="shared" si="8"/>
        <v>0</v>
      </c>
      <c r="AB30" s="80">
        <v>0.737303667743754</v>
      </c>
      <c r="AC30" s="81">
        <f t="shared" si="9"/>
        <v>60000</v>
      </c>
      <c r="AD30" s="78">
        <f t="shared" si="10"/>
        <v>253523.67744011324</v>
      </c>
      <c r="AE30" s="78">
        <f t="shared" si="22"/>
        <v>544685.83474121836</v>
      </c>
      <c r="AF30" s="78">
        <f t="shared" si="30"/>
        <v>0</v>
      </c>
      <c r="AG30" s="82">
        <v>0.06</v>
      </c>
      <c r="AH30" s="81">
        <f t="shared" si="12"/>
        <v>60000</v>
      </c>
      <c r="AI30" s="78">
        <f t="shared" si="13"/>
        <v>253523.67744011324</v>
      </c>
      <c r="AJ30" s="81">
        <f t="shared" si="23"/>
        <v>332335.0980865201</v>
      </c>
      <c r="AK30" s="81">
        <f t="shared" si="14"/>
        <v>0</v>
      </c>
      <c r="AL30" s="80">
        <f t="shared" si="24"/>
        <v>0.5</v>
      </c>
      <c r="AM30" s="80">
        <f t="shared" si="25"/>
        <v>0.5</v>
      </c>
      <c r="AN30" s="80">
        <f t="shared" si="26"/>
        <v>0.62106366490593645</v>
      </c>
      <c r="AO30" s="83">
        <f t="shared" si="27"/>
        <v>0.37893633509406355</v>
      </c>
      <c r="AP30" s="3"/>
    </row>
    <row r="31" spans="1:49">
      <c r="A31" s="119">
        <v>1985</v>
      </c>
      <c r="B31" s="129">
        <v>0.15786940130980878</v>
      </c>
      <c r="C31" s="152"/>
      <c r="D31" s="147"/>
      <c r="H31" s="63">
        <f t="shared" si="28"/>
        <v>2006</v>
      </c>
      <c r="I31" s="63">
        <f t="shared" si="1"/>
        <v>5</v>
      </c>
      <c r="J31" s="65">
        <v>0.15887411347517733</v>
      </c>
      <c r="K31" s="66">
        <f t="shared" si="2"/>
        <v>60000</v>
      </c>
      <c r="L31" s="63">
        <f t="shared" si="15"/>
        <v>642373.14573125076</v>
      </c>
      <c r="M31" s="63">
        <f t="shared" si="16"/>
        <v>813962.05658807466</v>
      </c>
      <c r="N31" s="63">
        <f t="shared" si="3"/>
        <v>0</v>
      </c>
      <c r="O31" s="67">
        <v>6.25E-2</v>
      </c>
      <c r="P31" s="66">
        <f t="shared" si="4"/>
        <v>60000</v>
      </c>
      <c r="Q31" s="63">
        <f t="shared" si="17"/>
        <v>272730.82380000001</v>
      </c>
      <c r="R31" s="66">
        <f t="shared" si="18"/>
        <v>353526.50028750004</v>
      </c>
      <c r="S31" s="66">
        <f t="shared" si="5"/>
        <v>0</v>
      </c>
      <c r="T31" s="65">
        <f t="shared" si="19"/>
        <v>0.67855323369044951</v>
      </c>
      <c r="U31" s="65">
        <f t="shared" si="20"/>
        <v>0.32144676630955049</v>
      </c>
      <c r="V31" s="65">
        <f t="shared" si="6"/>
        <v>0.69719060781751441</v>
      </c>
      <c r="W31" s="68">
        <f t="shared" si="7"/>
        <v>0.30280939218248559</v>
      </c>
      <c r="X31" s="3"/>
      <c r="Y31" s="78">
        <f t="shared" si="29"/>
        <v>2006</v>
      </c>
      <c r="Z31" s="78">
        <f t="shared" si="21"/>
        <v>5</v>
      </c>
      <c r="AA31" s="78">
        <f t="shared" si="8"/>
        <v>0</v>
      </c>
      <c r="AB31" s="80">
        <v>0.15887411347517733</v>
      </c>
      <c r="AC31" s="81">
        <f t="shared" si="9"/>
        <v>60000</v>
      </c>
      <c r="AD31" s="78">
        <f t="shared" si="10"/>
        <v>438510.46641386923</v>
      </c>
      <c r="AE31" s="78">
        <f t="shared" si="22"/>
        <v>577710.87482346979</v>
      </c>
      <c r="AF31" s="78">
        <f t="shared" si="30"/>
        <v>0</v>
      </c>
      <c r="AG31" s="82">
        <v>6.25E-2</v>
      </c>
      <c r="AH31" s="81">
        <f t="shared" si="12"/>
        <v>60000</v>
      </c>
      <c r="AI31" s="78">
        <f t="shared" si="13"/>
        <v>438510.46641386923</v>
      </c>
      <c r="AJ31" s="81">
        <f t="shared" si="23"/>
        <v>529667.37056473608</v>
      </c>
      <c r="AK31" s="81">
        <f t="shared" si="14"/>
        <v>0</v>
      </c>
      <c r="AL31" s="80">
        <f t="shared" si="24"/>
        <v>0.49999999999999994</v>
      </c>
      <c r="AM31" s="80">
        <f t="shared" si="25"/>
        <v>0.49999999999999994</v>
      </c>
      <c r="AN31" s="80">
        <f t="shared" si="26"/>
        <v>0.52169245443407253</v>
      </c>
      <c r="AO31" s="83">
        <f t="shared" si="27"/>
        <v>0.47830754556592747</v>
      </c>
      <c r="AP31" s="3"/>
    </row>
    <row r="32" spans="1:49">
      <c r="A32" s="119">
        <v>1986</v>
      </c>
      <c r="B32" s="129">
        <v>0.16987838176339995</v>
      </c>
      <c r="C32" s="152"/>
      <c r="D32" s="147"/>
      <c r="H32" s="63">
        <f t="shared" si="28"/>
        <v>2007</v>
      </c>
      <c r="I32" s="63">
        <f t="shared" si="1"/>
        <v>6</v>
      </c>
      <c r="J32" s="65">
        <v>0.19677787042632777</v>
      </c>
      <c r="K32" s="66">
        <f t="shared" si="2"/>
        <v>60000</v>
      </c>
      <c r="L32" s="63">
        <f t="shared" si="15"/>
        <v>813962.05658807466</v>
      </c>
      <c r="M32" s="63">
        <f t="shared" si="16"/>
        <v>1045938.4489168898</v>
      </c>
      <c r="N32" s="63">
        <f t="shared" si="3"/>
        <v>0</v>
      </c>
      <c r="O32" s="69">
        <v>7.0000000000000007E-2</v>
      </c>
      <c r="P32" s="66">
        <f t="shared" si="4"/>
        <v>60000</v>
      </c>
      <c r="Q32" s="63">
        <f t="shared" si="17"/>
        <v>353526.50028750004</v>
      </c>
      <c r="R32" s="66">
        <f t="shared" si="18"/>
        <v>442473.35530762508</v>
      </c>
      <c r="S32" s="66">
        <f t="shared" si="5"/>
        <v>0</v>
      </c>
      <c r="T32" s="65">
        <f t="shared" si="19"/>
        <v>0.67881151402927464</v>
      </c>
      <c r="U32" s="65">
        <f t="shared" si="20"/>
        <v>0.32118848597072541</v>
      </c>
      <c r="V32" s="65">
        <f t="shared" si="6"/>
        <v>0.70272114608889413</v>
      </c>
      <c r="W32" s="68">
        <f t="shared" si="7"/>
        <v>0.29727885391110587</v>
      </c>
      <c r="X32" s="3"/>
      <c r="Y32" s="78">
        <f t="shared" si="29"/>
        <v>2007</v>
      </c>
      <c r="Z32" s="78">
        <f t="shared" si="21"/>
        <v>6</v>
      </c>
      <c r="AA32" s="78">
        <f t="shared" si="8"/>
        <v>0</v>
      </c>
      <c r="AB32" s="80">
        <v>0.19677787042632777</v>
      </c>
      <c r="AC32" s="81">
        <f t="shared" si="9"/>
        <v>60000</v>
      </c>
      <c r="AD32" s="78">
        <f t="shared" si="10"/>
        <v>553689.12269410293</v>
      </c>
      <c r="AE32" s="78">
        <f t="shared" si="22"/>
        <v>734449.56136165</v>
      </c>
      <c r="AF32" s="78">
        <f t="shared" si="30"/>
        <v>0</v>
      </c>
      <c r="AG32" s="84">
        <v>7.0000000000000007E-2</v>
      </c>
      <c r="AH32" s="81">
        <f t="shared" si="12"/>
        <v>60000</v>
      </c>
      <c r="AI32" s="78">
        <f t="shared" si="13"/>
        <v>553689.12269410293</v>
      </c>
      <c r="AJ32" s="81">
        <f t="shared" si="23"/>
        <v>656647.3612826902</v>
      </c>
      <c r="AK32" s="81">
        <f t="shared" si="14"/>
        <v>0</v>
      </c>
      <c r="AL32" s="80">
        <f t="shared" si="24"/>
        <v>0.5</v>
      </c>
      <c r="AM32" s="80">
        <f t="shared" si="25"/>
        <v>0.5</v>
      </c>
      <c r="AN32" s="80">
        <f t="shared" si="26"/>
        <v>0.5279643347679418</v>
      </c>
      <c r="AO32" s="83">
        <f t="shared" si="27"/>
        <v>0.47203566523205825</v>
      </c>
      <c r="AP32" s="3"/>
    </row>
    <row r="33" spans="1:42">
      <c r="A33" s="119">
        <v>1987</v>
      </c>
      <c r="B33" s="129">
        <v>0.16605420510618984</v>
      </c>
      <c r="C33" s="152"/>
      <c r="D33" s="147"/>
      <c r="H33" s="63">
        <f t="shared" si="28"/>
        <v>2008</v>
      </c>
      <c r="I33" s="63">
        <f t="shared" si="1"/>
        <v>7</v>
      </c>
      <c r="J33" s="65">
        <v>-0.37942650405256834</v>
      </c>
      <c r="K33" s="66">
        <f t="shared" si="2"/>
        <v>60000</v>
      </c>
      <c r="L33" s="63">
        <f t="shared" si="15"/>
        <v>1045938.4489168898</v>
      </c>
      <c r="M33" s="63">
        <f t="shared" si="16"/>
        <v>686316.08954703424</v>
      </c>
      <c r="N33" s="63">
        <f t="shared" si="3"/>
        <v>0</v>
      </c>
      <c r="O33" s="69">
        <v>0.08</v>
      </c>
      <c r="P33" s="66">
        <f t="shared" si="4"/>
        <v>60000</v>
      </c>
      <c r="Q33" s="63">
        <f t="shared" si="17"/>
        <v>442473.35530762508</v>
      </c>
      <c r="R33" s="66">
        <f t="shared" si="18"/>
        <v>542671.22373223514</v>
      </c>
      <c r="S33" s="66">
        <f t="shared" si="5"/>
        <v>0</v>
      </c>
      <c r="T33" s="65">
        <f t="shared" si="19"/>
        <v>0.6875965757103546</v>
      </c>
      <c r="U33" s="65">
        <f t="shared" si="20"/>
        <v>0.31240342428964535</v>
      </c>
      <c r="V33" s="65">
        <f t="shared" si="6"/>
        <v>0.55844033712256802</v>
      </c>
      <c r="W33" s="68">
        <f t="shared" si="7"/>
        <v>0.44155966287743209</v>
      </c>
      <c r="X33" s="3"/>
      <c r="Y33" s="78">
        <f t="shared" si="29"/>
        <v>2008</v>
      </c>
      <c r="Z33" s="78">
        <f t="shared" si="21"/>
        <v>7</v>
      </c>
      <c r="AA33" s="78">
        <f t="shared" si="8"/>
        <v>0</v>
      </c>
      <c r="AB33" s="80">
        <v>-0.37942650405256834</v>
      </c>
      <c r="AC33" s="81">
        <f t="shared" si="9"/>
        <v>60000</v>
      </c>
      <c r="AD33" s="78">
        <f t="shared" si="10"/>
        <v>695548.4613221701</v>
      </c>
      <c r="AE33" s="78">
        <f t="shared" si="22"/>
        <v>468873.3500004019</v>
      </c>
      <c r="AF33" s="78">
        <f t="shared" si="30"/>
        <v>0</v>
      </c>
      <c r="AG33" s="84">
        <v>0.08</v>
      </c>
      <c r="AH33" s="81">
        <f t="shared" si="12"/>
        <v>60000</v>
      </c>
      <c r="AI33" s="78">
        <f t="shared" si="13"/>
        <v>695548.4613221701</v>
      </c>
      <c r="AJ33" s="81">
        <f t="shared" si="23"/>
        <v>815992.33822794375</v>
      </c>
      <c r="AK33" s="81">
        <f t="shared" si="14"/>
        <v>0</v>
      </c>
      <c r="AL33" s="80">
        <f t="shared" si="24"/>
        <v>0.5</v>
      </c>
      <c r="AM33" s="80">
        <f t="shared" si="25"/>
        <v>0.5</v>
      </c>
      <c r="AN33" s="80">
        <f t="shared" si="26"/>
        <v>0.36492012690206882</v>
      </c>
      <c r="AO33" s="83">
        <f t="shared" si="27"/>
        <v>0.63507987309793112</v>
      </c>
      <c r="AP33" s="3"/>
    </row>
    <row r="34" spans="1:42">
      <c r="A34" s="119">
        <v>1988</v>
      </c>
      <c r="B34" s="129">
        <v>0.13478359219843258</v>
      </c>
      <c r="C34" s="152"/>
      <c r="D34" s="147"/>
      <c r="H34" s="63">
        <f t="shared" si="28"/>
        <v>2009</v>
      </c>
      <c r="I34" s="63">
        <f t="shared" si="1"/>
        <v>8</v>
      </c>
      <c r="J34" s="65">
        <v>0.80532523046814641</v>
      </c>
      <c r="K34" s="66">
        <f t="shared" si="2"/>
        <v>60000</v>
      </c>
      <c r="L34" s="63">
        <f t="shared" si="15"/>
        <v>686316.08954703424</v>
      </c>
      <c r="M34" s="63">
        <f t="shared" si="16"/>
        <v>1347343.2663635854</v>
      </c>
      <c r="N34" s="63">
        <f t="shared" si="3"/>
        <v>0</v>
      </c>
      <c r="O34" s="69">
        <v>0.09</v>
      </c>
      <c r="P34" s="66">
        <f t="shared" si="4"/>
        <v>60000</v>
      </c>
      <c r="Q34" s="63">
        <f t="shared" si="17"/>
        <v>542671.22373223514</v>
      </c>
      <c r="R34" s="66">
        <f t="shared" si="18"/>
        <v>656911.63386813633</v>
      </c>
      <c r="S34" s="66">
        <f t="shared" si="5"/>
        <v>0</v>
      </c>
      <c r="T34" s="65">
        <f t="shared" si="19"/>
        <v>0.55324174082319988</v>
      </c>
      <c r="U34" s="65">
        <f t="shared" si="20"/>
        <v>0.44675825917680018</v>
      </c>
      <c r="V34" s="65">
        <f t="shared" si="6"/>
        <v>0.67224147298221015</v>
      </c>
      <c r="W34" s="68">
        <f t="shared" si="7"/>
        <v>0.32775852701778979</v>
      </c>
      <c r="X34" s="3"/>
      <c r="Y34" s="78">
        <f t="shared" si="29"/>
        <v>2009</v>
      </c>
      <c r="Z34" s="78">
        <f t="shared" si="21"/>
        <v>8</v>
      </c>
      <c r="AA34" s="78">
        <f t="shared" si="8"/>
        <v>0</v>
      </c>
      <c r="AB34" s="80">
        <v>0.80532523046814641</v>
      </c>
      <c r="AC34" s="81">
        <f t="shared" si="9"/>
        <v>60000</v>
      </c>
      <c r="AD34" s="78">
        <f t="shared" si="10"/>
        <v>642432.84411417285</v>
      </c>
      <c r="AE34" s="78">
        <f t="shared" si="22"/>
        <v>1268119.7361888147</v>
      </c>
      <c r="AF34" s="78">
        <f t="shared" si="30"/>
        <v>0</v>
      </c>
      <c r="AG34" s="84">
        <v>0.09</v>
      </c>
      <c r="AH34" s="81">
        <f t="shared" si="12"/>
        <v>60000</v>
      </c>
      <c r="AI34" s="78">
        <f t="shared" si="13"/>
        <v>642432.84411417285</v>
      </c>
      <c r="AJ34" s="81">
        <f t="shared" si="23"/>
        <v>765651.80008444842</v>
      </c>
      <c r="AK34" s="81">
        <f t="shared" si="14"/>
        <v>0</v>
      </c>
      <c r="AL34" s="80">
        <f t="shared" si="24"/>
        <v>0.5</v>
      </c>
      <c r="AM34" s="80">
        <f t="shared" si="25"/>
        <v>0.5</v>
      </c>
      <c r="AN34" s="80">
        <f t="shared" si="26"/>
        <v>0.62353106706987893</v>
      </c>
      <c r="AO34" s="83">
        <f t="shared" si="27"/>
        <v>0.37646893293012107</v>
      </c>
      <c r="AP34" s="3"/>
    </row>
    <row r="35" spans="1:42">
      <c r="A35" s="119">
        <v>1989</v>
      </c>
      <c r="B35" s="129">
        <v>0.14182123673531247</v>
      </c>
      <c r="C35" s="152"/>
      <c r="D35" s="147"/>
      <c r="H35" s="63">
        <f t="shared" si="28"/>
        <v>2010</v>
      </c>
      <c r="I35" s="63">
        <f t="shared" si="1"/>
        <v>9</v>
      </c>
      <c r="J35" s="65">
        <v>0.10943116334797741</v>
      </c>
      <c r="K35" s="66">
        <f t="shared" si="2"/>
        <v>60000</v>
      </c>
      <c r="L35" s="63">
        <f t="shared" si="15"/>
        <v>1347343.2663635854</v>
      </c>
      <c r="M35" s="63">
        <f t="shared" si="16"/>
        <v>1561350.4772316951</v>
      </c>
      <c r="N35" s="63">
        <f t="shared" si="3"/>
        <v>0</v>
      </c>
      <c r="O35" s="69">
        <v>0.1</v>
      </c>
      <c r="P35" s="66">
        <f t="shared" si="4"/>
        <v>60000</v>
      </c>
      <c r="Q35" s="63">
        <f t="shared" si="17"/>
        <v>656911.63386813633</v>
      </c>
      <c r="R35" s="66">
        <f t="shared" si="18"/>
        <v>788602.79725495004</v>
      </c>
      <c r="S35" s="66">
        <f t="shared" si="5"/>
        <v>0</v>
      </c>
      <c r="T35" s="65">
        <f t="shared" si="19"/>
        <v>0.66251148400790649</v>
      </c>
      <c r="U35" s="65">
        <f t="shared" si="20"/>
        <v>0.33748851599209345</v>
      </c>
      <c r="V35" s="65">
        <f t="shared" si="6"/>
        <v>0.66441766914398637</v>
      </c>
      <c r="W35" s="68">
        <f t="shared" si="7"/>
        <v>0.33558233085601369</v>
      </c>
      <c r="X35" s="3"/>
      <c r="Y35" s="78">
        <f t="shared" si="29"/>
        <v>2010</v>
      </c>
      <c r="Z35" s="78">
        <f t="shared" si="21"/>
        <v>9</v>
      </c>
      <c r="AA35" s="78">
        <f t="shared" si="8"/>
        <v>0</v>
      </c>
      <c r="AB35" s="80">
        <v>0.10943116334797741</v>
      </c>
      <c r="AC35" s="81">
        <f t="shared" si="9"/>
        <v>60000</v>
      </c>
      <c r="AD35" s="78">
        <f t="shared" si="10"/>
        <v>1016885.7681366316</v>
      </c>
      <c r="AE35" s="78">
        <f t="shared" si="22"/>
        <v>1194730.6305367036</v>
      </c>
      <c r="AF35" s="78">
        <f t="shared" si="30"/>
        <v>0</v>
      </c>
      <c r="AG35" s="84">
        <v>0.1</v>
      </c>
      <c r="AH35" s="81">
        <f t="shared" si="12"/>
        <v>60000</v>
      </c>
      <c r="AI35" s="78">
        <f t="shared" si="13"/>
        <v>1016885.7681366316</v>
      </c>
      <c r="AJ35" s="81">
        <f t="shared" si="23"/>
        <v>1184574.3449502951</v>
      </c>
      <c r="AK35" s="81">
        <f t="shared" si="14"/>
        <v>0</v>
      </c>
      <c r="AL35" s="80">
        <f t="shared" si="24"/>
        <v>0.5</v>
      </c>
      <c r="AM35" s="80">
        <f t="shared" si="25"/>
        <v>0.5</v>
      </c>
      <c r="AN35" s="80">
        <f t="shared" si="26"/>
        <v>0.50213429671501653</v>
      </c>
      <c r="AO35" s="83">
        <f t="shared" si="27"/>
        <v>0.49786570328498359</v>
      </c>
      <c r="AP35" s="3"/>
    </row>
    <row r="36" spans="1:42">
      <c r="A36" s="119">
        <v>1990</v>
      </c>
      <c r="B36" s="129">
        <v>0.10567905921920533</v>
      </c>
      <c r="C36" s="152"/>
      <c r="D36" s="147"/>
      <c r="H36" s="63">
        <f t="shared" si="28"/>
        <v>2011</v>
      </c>
      <c r="I36" s="63">
        <f t="shared" si="1"/>
        <v>10</v>
      </c>
      <c r="J36" s="65">
        <v>-0.10495242993057337</v>
      </c>
      <c r="K36" s="66">
        <f t="shared" si="2"/>
        <v>60000</v>
      </c>
      <c r="L36" s="63">
        <f t="shared" si="15"/>
        <v>1561350.4772316951</v>
      </c>
      <c r="M36" s="63">
        <f t="shared" si="16"/>
        <v>1451185.8048771338</v>
      </c>
      <c r="N36" s="63">
        <f t="shared" si="3"/>
        <v>1451185.8048771338</v>
      </c>
      <c r="O36" s="69">
        <v>0.11</v>
      </c>
      <c r="P36" s="66">
        <f t="shared" si="4"/>
        <v>60000</v>
      </c>
      <c r="Q36" s="63">
        <f t="shared" si="17"/>
        <v>788602.79725495004</v>
      </c>
      <c r="R36" s="66">
        <f t="shared" si="18"/>
        <v>941949.10495299462</v>
      </c>
      <c r="S36" s="66">
        <f t="shared" si="5"/>
        <v>941949.10495299462</v>
      </c>
      <c r="T36" s="65">
        <f t="shared" si="19"/>
        <v>0.65642961507791131</v>
      </c>
      <c r="U36" s="65">
        <f t="shared" si="20"/>
        <v>0.34357038492208869</v>
      </c>
      <c r="V36" s="65">
        <f t="shared" si="6"/>
        <v>0.60639531808933544</v>
      </c>
      <c r="W36" s="68">
        <f t="shared" si="7"/>
        <v>0.39360468191066456</v>
      </c>
      <c r="X36" s="3"/>
      <c r="Y36" s="78">
        <f t="shared" si="29"/>
        <v>2011</v>
      </c>
      <c r="Z36" s="78">
        <f t="shared" si="21"/>
        <v>10</v>
      </c>
      <c r="AA36" s="78">
        <f t="shared" si="8"/>
        <v>0</v>
      </c>
      <c r="AB36" s="80">
        <v>-0.10495242993057337</v>
      </c>
      <c r="AC36" s="81">
        <f t="shared" si="9"/>
        <v>60000</v>
      </c>
      <c r="AD36" s="78">
        <f t="shared" si="10"/>
        <v>1189652.4877434992</v>
      </c>
      <c r="AE36" s="78">
        <f t="shared" si="22"/>
        <v>1118498.4225860329</v>
      </c>
      <c r="AF36" s="78">
        <f t="shared" si="30"/>
        <v>1118498.4225860329</v>
      </c>
      <c r="AG36" s="84">
        <v>0.11</v>
      </c>
      <c r="AH36" s="81">
        <f t="shared" si="12"/>
        <v>60000</v>
      </c>
      <c r="AI36" s="78">
        <f t="shared" si="13"/>
        <v>1189652.4877434992</v>
      </c>
      <c r="AJ36" s="81">
        <f t="shared" si="23"/>
        <v>1387114.2613952842</v>
      </c>
      <c r="AK36" s="81">
        <f t="shared" si="14"/>
        <v>1387114.2613952842</v>
      </c>
      <c r="AL36" s="80">
        <f t="shared" si="24"/>
        <v>0.5</v>
      </c>
      <c r="AM36" s="80">
        <f t="shared" si="25"/>
        <v>0.5</v>
      </c>
      <c r="AN36" s="80">
        <f t="shared" si="26"/>
        <v>0.446397174526106</v>
      </c>
      <c r="AO36" s="83">
        <f t="shared" si="27"/>
        <v>0.55360282547389394</v>
      </c>
      <c r="AP36" s="3"/>
    </row>
    <row r="37" spans="1:42">
      <c r="A37" s="119">
        <v>1991</v>
      </c>
      <c r="B37" s="129">
        <v>7.234704506509386E-2</v>
      </c>
      <c r="C37" s="152"/>
      <c r="D37" s="147"/>
      <c r="H37" t="s">
        <v>16</v>
      </c>
      <c r="K37" s="3"/>
      <c r="P37" s="3"/>
      <c r="Q37" s="3"/>
      <c r="R37" s="3"/>
      <c r="S37" s="3"/>
      <c r="T37" s="3"/>
      <c r="U37" s="3"/>
      <c r="V37" s="3"/>
      <c r="W37" s="3"/>
      <c r="X37" s="3"/>
      <c r="Y37" s="25"/>
      <c r="Z37" s="25"/>
      <c r="AA37" s="25"/>
      <c r="AB37" s="26"/>
      <c r="AC37" s="25"/>
      <c r="AD37" s="25"/>
      <c r="AE37" s="27"/>
      <c r="AF37" s="25"/>
      <c r="AG37" s="26"/>
      <c r="AH37" s="25"/>
      <c r="AI37" s="25"/>
      <c r="AJ37" s="25"/>
      <c r="AK37" s="25"/>
      <c r="AL37" s="25"/>
      <c r="AM37" s="25"/>
      <c r="AN37" s="28"/>
      <c r="AO37" s="28"/>
      <c r="AP37" s="3"/>
    </row>
    <row r="38" spans="1:42">
      <c r="A38" s="119">
        <v>1992</v>
      </c>
      <c r="B38" s="129">
        <v>-4.2145332480512431E-3</v>
      </c>
      <c r="C38" s="152"/>
      <c r="D38" s="147"/>
      <c r="H38" t="s">
        <v>17</v>
      </c>
      <c r="J38" s="1"/>
      <c r="K38" s="1"/>
    </row>
    <row r="39" spans="1:42">
      <c r="A39" s="119">
        <v>1993</v>
      </c>
      <c r="B39" s="129">
        <v>-1.7875158306801427E-2</v>
      </c>
      <c r="C39" s="152"/>
      <c r="D39" s="147"/>
      <c r="J39" s="1"/>
      <c r="K39" s="1"/>
    </row>
    <row r="40" spans="1:42">
      <c r="A40" s="119">
        <v>1994</v>
      </c>
      <c r="B40" s="129">
        <v>5.7526073584621584E-2</v>
      </c>
      <c r="C40" s="152"/>
      <c r="D40" s="147"/>
      <c r="J40" s="1"/>
      <c r="K40" s="1"/>
    </row>
    <row r="41" spans="1:42">
      <c r="A41" s="119">
        <v>1995</v>
      </c>
      <c r="B41" s="129">
        <v>5.1606414776929482E-2</v>
      </c>
      <c r="C41" s="152"/>
      <c r="D41" s="147"/>
    </row>
    <row r="42" spans="1:42">
      <c r="A42" s="119">
        <v>1996</v>
      </c>
      <c r="B42" s="129">
        <v>2.073195459406384E-2</v>
      </c>
      <c r="C42" s="152"/>
      <c r="D42" s="147"/>
    </row>
    <row r="43" spans="1:42">
      <c r="A43" s="119">
        <v>1997</v>
      </c>
      <c r="B43" s="129">
        <v>-3.0541405660357433E-3</v>
      </c>
      <c r="C43" s="152"/>
      <c r="D43" s="147"/>
    </row>
    <row r="44" spans="1:42">
      <c r="A44" s="118">
        <v>1998</v>
      </c>
      <c r="B44" s="130">
        <v>-3.0142178657627087E-2</v>
      </c>
      <c r="C44" s="152"/>
      <c r="D44" s="147"/>
      <c r="E44" s="1"/>
      <c r="F44" s="1"/>
    </row>
    <row r="45" spans="1:42">
      <c r="A45" s="118">
        <v>1999</v>
      </c>
      <c r="B45" s="130">
        <v>7.4639008653092781E-2</v>
      </c>
      <c r="C45" s="153"/>
      <c r="D45" s="121"/>
      <c r="E45" s="26"/>
      <c r="F45" s="26"/>
      <c r="G45" s="27"/>
      <c r="H45" s="27"/>
      <c r="I45" s="27"/>
      <c r="J45" s="27"/>
      <c r="K45" s="27"/>
      <c r="L45" s="27"/>
      <c r="M45" s="27"/>
      <c r="N45" s="27"/>
      <c r="O45" s="27"/>
    </row>
    <row r="46" spans="1:42">
      <c r="A46" s="118">
        <v>2000</v>
      </c>
      <c r="B46" s="130">
        <v>2.9406966962335548E-2</v>
      </c>
      <c r="C46" s="153"/>
      <c r="D46" s="121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42">
      <c r="A47" s="118">
        <v>2001</v>
      </c>
      <c r="B47" s="130">
        <v>1.3636428078292212E-2</v>
      </c>
      <c r="C47" s="153"/>
      <c r="D47" s="12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42">
      <c r="A48" s="118">
        <v>2002</v>
      </c>
      <c r="B48" s="130">
        <v>4.7000181096841211E-2</v>
      </c>
      <c r="C48" s="153"/>
      <c r="D48" s="121"/>
      <c r="E48" s="27"/>
      <c r="F48" s="27"/>
      <c r="G48" s="27"/>
      <c r="H48" s="40"/>
      <c r="I48" s="27"/>
      <c r="J48" s="27"/>
      <c r="K48" s="27"/>
      <c r="L48" s="61"/>
      <c r="M48" s="27"/>
      <c r="N48" s="27"/>
      <c r="O48" s="27"/>
    </row>
    <row r="49" spans="1:15">
      <c r="A49" s="118"/>
      <c r="B49" s="165"/>
      <c r="C49" s="122"/>
      <c r="D49" s="121"/>
      <c r="E49" s="27"/>
      <c r="F49" s="27"/>
      <c r="G49" s="27"/>
      <c r="H49" s="42"/>
      <c r="I49" s="27"/>
      <c r="J49" s="27"/>
      <c r="K49" s="27"/>
      <c r="L49" s="27"/>
      <c r="M49" s="27"/>
      <c r="N49" s="27"/>
      <c r="O49" s="27"/>
    </row>
    <row r="50" spans="1:15">
      <c r="A50" s="118"/>
      <c r="B50" s="165"/>
      <c r="C50" s="122"/>
      <c r="D50" s="12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118"/>
      <c r="B51" s="165"/>
      <c r="C51" s="122"/>
      <c r="D51" s="121"/>
      <c r="E51" s="27"/>
      <c r="F51" s="27"/>
      <c r="G51" s="27"/>
      <c r="H51" s="27"/>
      <c r="I51" s="27"/>
      <c r="J51" s="26"/>
      <c r="K51" s="26"/>
      <c r="L51" s="27"/>
      <c r="M51" s="27"/>
      <c r="N51" s="27"/>
      <c r="O51" s="27"/>
    </row>
    <row r="52" spans="1:15">
      <c r="A52" s="118"/>
      <c r="B52" s="165"/>
      <c r="C52" s="120"/>
      <c r="D52" s="95"/>
      <c r="J52" s="1"/>
      <c r="K52" s="1"/>
    </row>
    <row r="53" spans="1:15">
      <c r="A53" s="119"/>
      <c r="B53" s="166"/>
      <c r="C53" s="120"/>
      <c r="D53" s="95"/>
      <c r="J53" s="1"/>
      <c r="K53" s="1"/>
    </row>
    <row r="54" spans="1:15">
      <c r="A54" s="119"/>
      <c r="B54" s="166"/>
      <c r="C54" s="120"/>
      <c r="D54" s="95"/>
      <c r="J54" s="1"/>
      <c r="K54" s="1"/>
    </row>
    <row r="55" spans="1:15">
      <c r="A55" s="119"/>
      <c r="B55" s="166"/>
      <c r="C55" s="120"/>
      <c r="D55" s="95"/>
    </row>
    <row r="56" spans="1:15">
      <c r="A56" s="119"/>
      <c r="B56" s="166"/>
      <c r="C56" s="120"/>
      <c r="D56" s="95"/>
    </row>
    <row r="57" spans="1:15">
      <c r="A57" s="119"/>
      <c r="B57" s="166"/>
      <c r="C57" s="120"/>
      <c r="D57" s="95"/>
    </row>
  </sheetData>
  <mergeCells count="13">
    <mergeCell ref="H1:U1"/>
    <mergeCell ref="Y1:AO1"/>
    <mergeCell ref="T2:W2"/>
    <mergeCell ref="AL2:AO2"/>
    <mergeCell ref="T4:U4"/>
    <mergeCell ref="V4:W4"/>
    <mergeCell ref="AL4:AM4"/>
    <mergeCell ref="AN4:AO4"/>
    <mergeCell ref="A18:C18"/>
    <mergeCell ref="A19:C19"/>
    <mergeCell ref="A20:C20"/>
    <mergeCell ref="A21:C21"/>
    <mergeCell ref="A8:B8"/>
  </mergeCells>
  <conditionalFormatting sqref="Y5:AO36">
    <cfRule type="cellIs" dxfId="8" priority="2" operator="equal">
      <formula>0</formula>
    </cfRule>
  </conditionalFormatting>
  <conditionalFormatting sqref="K5:N36 P5:W36">
    <cfRule type="cellIs" dxfId="7" priority="1" operator="equal">
      <formula>0</formula>
    </cfRule>
  </conditionalFormatting>
  <dataValidations count="1">
    <dataValidation type="list" allowBlank="1" showInputMessage="1" showErrorMessage="1" sqref="C8">
      <formula1>$AW$1:$AW$17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X57"/>
  <sheetViews>
    <sheetView workbookViewId="0">
      <selection activeCell="D2" sqref="D2"/>
    </sheetView>
  </sheetViews>
  <sheetFormatPr defaultRowHeight="14.4"/>
  <cols>
    <col min="1" max="1" width="17.109375" customWidth="1"/>
    <col min="2" max="2" width="16.88671875" bestFit="1" customWidth="1"/>
    <col min="3" max="3" width="11" bestFit="1" customWidth="1"/>
    <col min="4" max="4" width="12.109375" bestFit="1" customWidth="1"/>
    <col min="5" max="5" width="7.88671875" bestFit="1" customWidth="1"/>
    <col min="6" max="6" width="6.33203125" bestFit="1" customWidth="1"/>
    <col min="7" max="7" width="7.33203125" customWidth="1"/>
    <col min="8" max="8" width="7.88671875" customWidth="1"/>
    <col min="9" max="9" width="4.6640625" bestFit="1" customWidth="1"/>
    <col min="10" max="10" width="6.77734375" bestFit="1" customWidth="1"/>
    <col min="11" max="11" width="10.44140625" bestFit="1" customWidth="1"/>
    <col min="12" max="13" width="12" bestFit="1" customWidth="1"/>
    <col min="14" max="14" width="8.88671875" customWidth="1"/>
    <col min="16" max="16" width="10.44140625" bestFit="1" customWidth="1"/>
    <col min="17" max="17" width="11.33203125" bestFit="1" customWidth="1"/>
    <col min="18" max="18" width="10.109375" bestFit="1" customWidth="1"/>
    <col min="19" max="19" width="0" hidden="1" customWidth="1"/>
    <col min="29" max="29" width="10.109375" bestFit="1" customWidth="1"/>
    <col min="30" max="31" width="12" bestFit="1" customWidth="1"/>
    <col min="32" max="32" width="0" hidden="1" customWidth="1"/>
    <col min="34" max="34" width="10.44140625" bestFit="1" customWidth="1"/>
    <col min="35" max="35" width="12" bestFit="1" customWidth="1"/>
    <col min="36" max="36" width="10.109375" bestFit="1" customWidth="1"/>
    <col min="37" max="37" width="0" hidden="1" customWidth="1"/>
  </cols>
  <sheetData>
    <row r="1" spans="1:50" ht="15" thickBot="1">
      <c r="A1" s="2" t="s">
        <v>15</v>
      </c>
      <c r="H1" s="207" t="s">
        <v>32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9"/>
      <c r="U1" s="209"/>
      <c r="V1" s="74"/>
      <c r="W1" s="74"/>
      <c r="Y1" s="207" t="s">
        <v>33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W1" s="95" t="s">
        <v>110</v>
      </c>
      <c r="AX1" s="99">
        <v>1</v>
      </c>
    </row>
    <row r="2" spans="1:50">
      <c r="A2" s="108" t="s">
        <v>18</v>
      </c>
      <c r="B2" s="108"/>
      <c r="C2" s="108"/>
      <c r="D2" s="196">
        <v>10</v>
      </c>
      <c r="E2" s="5"/>
      <c r="F2" s="6"/>
      <c r="H2" s="75" t="s">
        <v>14</v>
      </c>
      <c r="I2" s="75" t="s">
        <v>0</v>
      </c>
      <c r="J2" s="75" t="s">
        <v>8</v>
      </c>
      <c r="K2" s="75" t="s">
        <v>2</v>
      </c>
      <c r="L2" s="75" t="s">
        <v>96</v>
      </c>
      <c r="M2" s="75" t="s">
        <v>37</v>
      </c>
      <c r="N2" s="63"/>
      <c r="O2" s="75" t="s">
        <v>21</v>
      </c>
      <c r="P2" s="75" t="s">
        <v>2</v>
      </c>
      <c r="Q2" s="75" t="s">
        <v>96</v>
      </c>
      <c r="R2" s="75" t="s">
        <v>100</v>
      </c>
      <c r="S2" s="75"/>
      <c r="T2" s="206" t="s">
        <v>101</v>
      </c>
      <c r="U2" s="206"/>
      <c r="V2" s="206"/>
      <c r="W2" s="206"/>
      <c r="Y2" s="77" t="s">
        <v>14</v>
      </c>
      <c r="Z2" s="77" t="s">
        <v>0</v>
      </c>
      <c r="AA2" s="77"/>
      <c r="AB2" s="77" t="s">
        <v>8</v>
      </c>
      <c r="AC2" s="77" t="s">
        <v>2</v>
      </c>
      <c r="AD2" s="77" t="s">
        <v>96</v>
      </c>
      <c r="AE2" s="77" t="s">
        <v>37</v>
      </c>
      <c r="AF2" s="78"/>
      <c r="AG2" s="77" t="s">
        <v>21</v>
      </c>
      <c r="AH2" s="77" t="s">
        <v>2</v>
      </c>
      <c r="AI2" s="77" t="s">
        <v>96</v>
      </c>
      <c r="AJ2" s="77" t="s">
        <v>100</v>
      </c>
      <c r="AK2" s="77"/>
      <c r="AL2" s="200" t="s">
        <v>101</v>
      </c>
      <c r="AM2" s="200"/>
      <c r="AN2" s="200"/>
      <c r="AO2" s="200"/>
      <c r="AW2" s="95">
        <v>1</v>
      </c>
      <c r="AX2" s="104"/>
    </row>
    <row r="3" spans="1:50">
      <c r="A3" s="38" t="s">
        <v>10</v>
      </c>
      <c r="B3" s="38"/>
      <c r="C3" s="38"/>
      <c r="D3" s="149">
        <v>1980</v>
      </c>
      <c r="E3" s="109" t="s">
        <v>11</v>
      </c>
      <c r="F3" s="102">
        <f>2011-time1+1</f>
        <v>2002</v>
      </c>
      <c r="H3" s="75" t="s">
        <v>13</v>
      </c>
      <c r="I3" s="63"/>
      <c r="J3" s="75" t="s">
        <v>13</v>
      </c>
      <c r="K3" s="75" t="s">
        <v>3</v>
      </c>
      <c r="L3" s="75" t="s">
        <v>97</v>
      </c>
      <c r="M3" s="75" t="s">
        <v>99</v>
      </c>
      <c r="N3" s="63"/>
      <c r="O3" s="75" t="s">
        <v>13</v>
      </c>
      <c r="P3" s="75" t="s">
        <v>3</v>
      </c>
      <c r="Q3" s="75" t="s">
        <v>97</v>
      </c>
      <c r="R3" s="72" t="s">
        <v>99</v>
      </c>
      <c r="S3" s="63"/>
      <c r="T3" s="75" t="s">
        <v>23</v>
      </c>
      <c r="U3" s="75" t="s">
        <v>24</v>
      </c>
      <c r="V3" s="75" t="s">
        <v>23</v>
      </c>
      <c r="W3" s="75" t="s">
        <v>24</v>
      </c>
      <c r="X3" s="2"/>
      <c r="Y3" s="78"/>
      <c r="Z3" s="78"/>
      <c r="AA3" s="78"/>
      <c r="AB3" s="77" t="s">
        <v>9</v>
      </c>
      <c r="AC3" s="77" t="s">
        <v>36</v>
      </c>
      <c r="AD3" s="77" t="s">
        <v>97</v>
      </c>
      <c r="AE3" s="77" t="s">
        <v>99</v>
      </c>
      <c r="AF3" s="78"/>
      <c r="AG3" s="77" t="s">
        <v>13</v>
      </c>
      <c r="AH3" s="77" t="s">
        <v>3</v>
      </c>
      <c r="AI3" s="77" t="s">
        <v>97</v>
      </c>
      <c r="AJ3" s="77" t="s">
        <v>99</v>
      </c>
      <c r="AK3" s="78"/>
      <c r="AL3" s="77" t="s">
        <v>23</v>
      </c>
      <c r="AM3" s="77" t="s">
        <v>24</v>
      </c>
      <c r="AN3" s="77" t="s">
        <v>23</v>
      </c>
      <c r="AO3" s="77" t="s">
        <v>24</v>
      </c>
      <c r="AP3" s="2"/>
      <c r="AW3" s="95">
        <f t="shared" ref="AW3:AW17" si="0">IF(AW2&lt;time1/2,AW2+1,"")</f>
        <v>2</v>
      </c>
    </row>
    <row r="4" spans="1:50">
      <c r="A4" s="106" t="s">
        <v>12</v>
      </c>
      <c r="B4" s="106"/>
      <c r="C4" s="195">
        <v>2002</v>
      </c>
      <c r="D4" s="8"/>
      <c r="E4" s="8"/>
      <c r="F4" s="9"/>
      <c r="H4" s="64"/>
      <c r="I4" s="63"/>
      <c r="J4" s="75"/>
      <c r="K4" s="75"/>
      <c r="L4" s="75" t="s">
        <v>98</v>
      </c>
      <c r="M4" s="63"/>
      <c r="N4" s="63"/>
      <c r="O4" s="75"/>
      <c r="P4" s="75"/>
      <c r="Q4" s="75" t="s">
        <v>98</v>
      </c>
      <c r="R4" s="75"/>
      <c r="S4" s="75"/>
      <c r="T4" s="210" t="s">
        <v>102</v>
      </c>
      <c r="U4" s="211"/>
      <c r="V4" s="210" t="s">
        <v>103</v>
      </c>
      <c r="W4" s="211"/>
      <c r="X4" s="2"/>
      <c r="Y4" s="79" t="s">
        <v>13</v>
      </c>
      <c r="Z4" s="78"/>
      <c r="AA4" s="78"/>
      <c r="AB4" s="77"/>
      <c r="AC4" s="77"/>
      <c r="AD4" s="77" t="s">
        <v>98</v>
      </c>
      <c r="AE4" s="78"/>
      <c r="AF4" s="78"/>
      <c r="AG4" s="77"/>
      <c r="AH4" s="77"/>
      <c r="AI4" s="77" t="s">
        <v>98</v>
      </c>
      <c r="AJ4" s="77"/>
      <c r="AK4" s="77"/>
      <c r="AL4" s="200" t="s">
        <v>102</v>
      </c>
      <c r="AM4" s="200"/>
      <c r="AN4" s="200" t="s">
        <v>103</v>
      </c>
      <c r="AO4" s="200"/>
      <c r="AP4" s="2"/>
      <c r="AW4" s="95">
        <f t="shared" si="0"/>
        <v>3</v>
      </c>
    </row>
    <row r="5" spans="1:50">
      <c r="A5" s="38" t="s">
        <v>7</v>
      </c>
      <c r="B5" s="38"/>
      <c r="C5" s="38"/>
      <c r="D5" s="148">
        <v>25000</v>
      </c>
      <c r="E5" s="8"/>
      <c r="F5" s="9"/>
      <c r="H5" s="63">
        <v>1980</v>
      </c>
      <c r="I5" s="63">
        <f t="shared" ref="I5:I36" si="1">IF(H4=start-1+time1,0,IF(I4&lt;&gt;0,I4+1,IF(H5=start,1,0)))</f>
        <v>0</v>
      </c>
      <c r="J5" s="65">
        <v>0.34899276658629547</v>
      </c>
      <c r="K5" s="66">
        <f t="shared" ref="K5:K36" si="2">IF(I5=0,0,IF(O4=start-1+time1,0,IF(K4&lt;&gt;0,K4*(1+inca),IF(H5=start,12*cont1*eqper,0))))</f>
        <v>0</v>
      </c>
      <c r="L5" s="63">
        <f>IF(I5=1,0,IF(I5=0,0,M4))</f>
        <v>0</v>
      </c>
      <c r="M5" s="63">
        <f>IF(I5=0,0,IF(I5=1,K5*(1+J5),(L5+K5)*(1+J5)))</f>
        <v>0</v>
      </c>
      <c r="N5" s="63">
        <f t="shared" ref="N5:N36" si="3">IF(I5=time1,M5,0)</f>
        <v>0</v>
      </c>
      <c r="O5" s="67">
        <v>7.4999999999999997E-2</v>
      </c>
      <c r="P5" s="66">
        <f t="shared" ref="P5:P36" si="4">IF(I5=0,0,IF(O4=start-1+time1,0,IF(K4&lt;&gt;0,K4*(1+inca),IF(H5=start,12*cont1*bondper,0))))</f>
        <v>0</v>
      </c>
      <c r="Q5" s="63">
        <f>IF(I5=1,0,IF(I5=0,0,R4))</f>
        <v>0</v>
      </c>
      <c r="R5" s="66">
        <f>IF(I5=0,0,IF(I5=1,P5*(1+O5),(Q5+P5)*(1+O5)))</f>
        <v>0</v>
      </c>
      <c r="S5" s="66">
        <f t="shared" ref="S5:S36" si="5">IF(I5=time1,R5,0)</f>
        <v>0</v>
      </c>
      <c r="T5" s="65">
        <f>IF(I5=0,0,(K5+L5)/(K5+L5+P5+Q5))</f>
        <v>0</v>
      </c>
      <c r="U5" s="65">
        <f>IF(I5=0,0,(P5+Q5)/(K5+L5+P5+Q5))</f>
        <v>0</v>
      </c>
      <c r="V5" s="65">
        <f t="shared" ref="V5:V36" si="6">IF(I5=0,0,M5/(M5+R5))</f>
        <v>0</v>
      </c>
      <c r="W5" s="68">
        <f t="shared" ref="W5:W36" si="7">IF(I5=0,0,R5/(M5+R5))</f>
        <v>0</v>
      </c>
      <c r="X5" s="3"/>
      <c r="Y5" s="78">
        <v>1980</v>
      </c>
      <c r="Z5" s="78">
        <f>IF(AG4=start-1+time1,0,IF(Z4&lt;&gt;0,Z4+1,IF(Y5=start,1,0)))</f>
        <v>0</v>
      </c>
      <c r="AA5" s="78" t="str">
        <f t="shared" ref="AA5:AA36" si="8">IF(Z5=0,"",IF(Z5=1,1,IF((AN4-eqper)&gt;oneway,0,1)))</f>
        <v/>
      </c>
      <c r="AB5" s="80">
        <v>0.34899276658629547</v>
      </c>
      <c r="AC5" s="81">
        <f t="shared" ref="AC5:AC36" si="9">IF(Z5=0,0,IF(AG4=start-1+time1,0,IF(AC4&lt;&gt;0,AC4*(1+inca),IF(Y5=start,12*cont1*eqper,0))))</f>
        <v>0</v>
      </c>
      <c r="AD5" s="78">
        <f t="shared" ref="AD5:AD36" si="10">IF(Z5=1,0,IF(Z5=0,0,IF(AA5=0,AE4*(1-oneway),AE4)))</f>
        <v>0</v>
      </c>
      <c r="AE5" s="78">
        <f>IF(Z5=0,0,(AC5+AD5)*(1+AB5))</f>
        <v>0</v>
      </c>
      <c r="AF5" s="78">
        <f t="shared" ref="AF5:AF8" si="11">IF(Z5=time1,AE5,0)</f>
        <v>0</v>
      </c>
      <c r="AG5" s="82">
        <v>7.4999999999999997E-2</v>
      </c>
      <c r="AH5" s="81">
        <f t="shared" ref="AH5:AH36" si="12">IF(Z5=0,0,IF(AG4=start-1+time1,0,IF(AH4&lt;&gt;0,AH4*(1+inca),IF(Y5=start,12*cont1*bondper,0))))</f>
        <v>0</v>
      </c>
      <c r="AI5" s="78">
        <f t="shared" ref="AI5:AI36" si="13">IF(Z5=1,0,IF(Z5=0,0,IF(AA5=0,AJ4+oneway*AE4,AJ4)))</f>
        <v>0</v>
      </c>
      <c r="AJ5" s="81">
        <f>IF(Z5=0,0,(AH5+AI5)*(1+AG5))</f>
        <v>0</v>
      </c>
      <c r="AK5" s="81">
        <f t="shared" ref="AK5:AK36" si="14">IF(Z5=time1,AJ5,0)</f>
        <v>0</v>
      </c>
      <c r="AL5" s="80">
        <f>IF(Z5=0,0,(AC5+AD5)/(AC5+AD5+AH5+AI5))</f>
        <v>0</v>
      </c>
      <c r="AM5" s="80">
        <f>IF(Z5=0,0,(AH5+AI5)/(AC5+AD5+AH5+AI5))</f>
        <v>0</v>
      </c>
      <c r="AN5" s="80">
        <f>IF(Z5=0,0,AE5/(AE5+AJ5))</f>
        <v>0</v>
      </c>
      <c r="AO5" s="83">
        <f>IF(Z5=0,0,AJ5/(AE5+AJ5))</f>
        <v>0</v>
      </c>
      <c r="AP5" s="3"/>
      <c r="AQ5" s="33"/>
      <c r="AW5" s="95">
        <f t="shared" si="0"/>
        <v>4</v>
      </c>
    </row>
    <row r="6" spans="1:50">
      <c r="A6" s="38" t="s">
        <v>6</v>
      </c>
      <c r="B6" s="38" t="s">
        <v>5</v>
      </c>
      <c r="C6" s="38"/>
      <c r="D6" s="104">
        <v>0</v>
      </c>
      <c r="E6" s="8"/>
      <c r="F6" s="9"/>
      <c r="H6" s="63">
        <f>H5+1</f>
        <v>1981</v>
      </c>
      <c r="I6" s="63">
        <f t="shared" si="1"/>
        <v>0</v>
      </c>
      <c r="J6" s="65">
        <v>0.25524677121771222</v>
      </c>
      <c r="K6" s="66">
        <f t="shared" si="2"/>
        <v>0</v>
      </c>
      <c r="L6" s="63">
        <f t="shared" ref="L6:L36" si="15">IF(I6=1,0,IF(I6=0,0,M5))</f>
        <v>0</v>
      </c>
      <c r="M6" s="63">
        <f t="shared" ref="M6:M36" si="16">IF(I6=0,0,IF(I6=1,K6*(1+J6),(L6+K6)*(1+J6)))</f>
        <v>0</v>
      </c>
      <c r="N6" s="63">
        <f t="shared" si="3"/>
        <v>0</v>
      </c>
      <c r="O6" s="67">
        <v>0.08</v>
      </c>
      <c r="P6" s="66">
        <f t="shared" si="4"/>
        <v>0</v>
      </c>
      <c r="Q6" s="63">
        <f t="shared" ref="Q6:Q36" si="17">IF(I6=1,0,IF(I6=0,0,R5))</f>
        <v>0</v>
      </c>
      <c r="R6" s="66">
        <f t="shared" ref="R6:R36" si="18">IF(I6=0,0,IF(I6=1,P6*(1+O6),(Q6+P6)*(1+O6)))</f>
        <v>0</v>
      </c>
      <c r="S6" s="66">
        <f t="shared" si="5"/>
        <v>0</v>
      </c>
      <c r="T6" s="65">
        <f t="shared" ref="T6:T36" si="19">IF(I6=0,0,(K6+L6)/(K6+L6+P6+Q6))</f>
        <v>0</v>
      </c>
      <c r="U6" s="65">
        <f t="shared" ref="U6:U36" si="20">IF(I6=0,0,(P6+Q6)/(K6+L6+P6+Q6))</f>
        <v>0</v>
      </c>
      <c r="V6" s="65">
        <f t="shared" si="6"/>
        <v>0</v>
      </c>
      <c r="W6" s="68">
        <f t="shared" si="7"/>
        <v>0</v>
      </c>
      <c r="X6" s="3"/>
      <c r="Y6" s="78">
        <f>Y5+1</f>
        <v>1981</v>
      </c>
      <c r="Z6" s="78">
        <f t="shared" ref="Z6:Z36" si="21">IF(Y5=start-1+time1,0,IF(Z5&lt;&gt;0,Z5+1,IF(Y6=start,1,0)))</f>
        <v>0</v>
      </c>
      <c r="AA6" s="78" t="str">
        <f t="shared" si="8"/>
        <v/>
      </c>
      <c r="AB6" s="80">
        <v>0.25524677121771222</v>
      </c>
      <c r="AC6" s="81">
        <f t="shared" si="9"/>
        <v>0</v>
      </c>
      <c r="AD6" s="78">
        <f t="shared" si="10"/>
        <v>0</v>
      </c>
      <c r="AE6" s="78">
        <f t="shared" ref="AE6:AE36" si="22">IF(Z6=0,0,(AC6+AD6)*(1+AB6))</f>
        <v>0</v>
      </c>
      <c r="AF6" s="78">
        <f t="shared" si="11"/>
        <v>0</v>
      </c>
      <c r="AG6" s="82">
        <v>0.08</v>
      </c>
      <c r="AH6" s="81">
        <f t="shared" si="12"/>
        <v>0</v>
      </c>
      <c r="AI6" s="78">
        <f t="shared" si="13"/>
        <v>0</v>
      </c>
      <c r="AJ6" s="81">
        <f t="shared" ref="AJ6:AJ36" si="23">IF(Z6=0,0,(AH6+AI6)*(1+AG6))</f>
        <v>0</v>
      </c>
      <c r="AK6" s="81">
        <f t="shared" si="14"/>
        <v>0</v>
      </c>
      <c r="AL6" s="80">
        <f t="shared" ref="AL6:AL36" si="24">IF(Z6=0,0,(AC6+AD6)/(AC6+AD6+AH6+AI6))</f>
        <v>0</v>
      </c>
      <c r="AM6" s="80">
        <f t="shared" ref="AM6:AM36" si="25">IF(Z6=0,0,(AH6+AI6)/(AC6+AD6+AH6+AI6))</f>
        <v>0</v>
      </c>
      <c r="AN6" s="80">
        <f t="shared" ref="AN6:AN36" si="26">IF(Z6=0,0,AE6/(AE6+AJ6))</f>
        <v>0</v>
      </c>
      <c r="AO6" s="83">
        <f t="shared" ref="AO6:AO36" si="27">IF(Z6=0,0,AJ6/(AE6+AJ6))</f>
        <v>0</v>
      </c>
      <c r="AP6" s="3"/>
      <c r="AW6" s="95">
        <f t="shared" si="0"/>
        <v>5</v>
      </c>
    </row>
    <row r="7" spans="1:50">
      <c r="E7" s="8"/>
      <c r="F7" s="9"/>
      <c r="H7" s="63">
        <f t="shared" ref="H7:H36" si="28">H6+1</f>
        <v>1982</v>
      </c>
      <c r="I7" s="63">
        <f t="shared" si="1"/>
        <v>0</v>
      </c>
      <c r="J7" s="65">
        <v>-2.8478250884203839E-2</v>
      </c>
      <c r="K7" s="66">
        <f t="shared" si="2"/>
        <v>0</v>
      </c>
      <c r="L7" s="63">
        <f t="shared" si="15"/>
        <v>0</v>
      </c>
      <c r="M7" s="63">
        <f t="shared" si="16"/>
        <v>0</v>
      </c>
      <c r="N7" s="63">
        <f t="shared" si="3"/>
        <v>0</v>
      </c>
      <c r="O7" s="67">
        <v>0.08</v>
      </c>
      <c r="P7" s="66">
        <f t="shared" si="4"/>
        <v>0</v>
      </c>
      <c r="Q7" s="63">
        <f t="shared" si="17"/>
        <v>0</v>
      </c>
      <c r="R7" s="66">
        <f t="shared" si="18"/>
        <v>0</v>
      </c>
      <c r="S7" s="66">
        <f t="shared" si="5"/>
        <v>0</v>
      </c>
      <c r="T7" s="65">
        <f t="shared" si="19"/>
        <v>0</v>
      </c>
      <c r="U7" s="65">
        <f t="shared" si="20"/>
        <v>0</v>
      </c>
      <c r="V7" s="65">
        <f t="shared" si="6"/>
        <v>0</v>
      </c>
      <c r="W7" s="68">
        <f t="shared" si="7"/>
        <v>0</v>
      </c>
      <c r="X7" s="3"/>
      <c r="Y7" s="78">
        <f t="shared" ref="Y7:Y36" si="29">Y6+1</f>
        <v>1982</v>
      </c>
      <c r="Z7" s="78">
        <f t="shared" si="21"/>
        <v>0</v>
      </c>
      <c r="AA7" s="78" t="str">
        <f t="shared" si="8"/>
        <v/>
      </c>
      <c r="AB7" s="80">
        <v>-2.8478250884203839E-2</v>
      </c>
      <c r="AC7" s="81">
        <f t="shared" si="9"/>
        <v>0</v>
      </c>
      <c r="AD7" s="78">
        <f t="shared" si="10"/>
        <v>0</v>
      </c>
      <c r="AE7" s="78">
        <f t="shared" si="22"/>
        <v>0</v>
      </c>
      <c r="AF7" s="78">
        <f t="shared" si="11"/>
        <v>0</v>
      </c>
      <c r="AG7" s="82">
        <v>0.08</v>
      </c>
      <c r="AH7" s="81">
        <f t="shared" si="12"/>
        <v>0</v>
      </c>
      <c r="AI7" s="78">
        <f t="shared" si="13"/>
        <v>0</v>
      </c>
      <c r="AJ7" s="81">
        <f t="shared" si="23"/>
        <v>0</v>
      </c>
      <c r="AK7" s="81">
        <f t="shared" si="14"/>
        <v>0</v>
      </c>
      <c r="AL7" s="80">
        <f t="shared" si="24"/>
        <v>0</v>
      </c>
      <c r="AM7" s="80">
        <f t="shared" si="25"/>
        <v>0</v>
      </c>
      <c r="AN7" s="80">
        <f t="shared" si="26"/>
        <v>0</v>
      </c>
      <c r="AO7" s="83">
        <f t="shared" si="27"/>
        <v>0</v>
      </c>
      <c r="AP7" s="3"/>
      <c r="AW7" s="95" t="str">
        <f t="shared" si="0"/>
        <v/>
      </c>
    </row>
    <row r="8" spans="1:50">
      <c r="A8" s="38" t="s">
        <v>19</v>
      </c>
      <c r="B8" s="104">
        <v>0.5</v>
      </c>
      <c r="C8" s="100" t="s">
        <v>20</v>
      </c>
      <c r="D8" s="105">
        <f>100%-eqper</f>
        <v>0.5</v>
      </c>
      <c r="E8" s="8"/>
      <c r="F8" s="9"/>
      <c r="H8" s="63">
        <f t="shared" si="28"/>
        <v>1983</v>
      </c>
      <c r="I8" s="63">
        <f t="shared" si="1"/>
        <v>0</v>
      </c>
      <c r="J8" s="65">
        <v>0.15989787716892828</v>
      </c>
      <c r="K8" s="66">
        <f t="shared" si="2"/>
        <v>0</v>
      </c>
      <c r="L8" s="63">
        <f t="shared" si="15"/>
        <v>0</v>
      </c>
      <c r="M8" s="63">
        <f t="shared" si="16"/>
        <v>0</v>
      </c>
      <c r="N8" s="63">
        <f t="shared" si="3"/>
        <v>0</v>
      </c>
      <c r="O8" s="67">
        <v>0.08</v>
      </c>
      <c r="P8" s="66">
        <f t="shared" si="4"/>
        <v>0</v>
      </c>
      <c r="Q8" s="63">
        <f t="shared" si="17"/>
        <v>0</v>
      </c>
      <c r="R8" s="66">
        <f t="shared" si="18"/>
        <v>0</v>
      </c>
      <c r="S8" s="66">
        <f t="shared" si="5"/>
        <v>0</v>
      </c>
      <c r="T8" s="65">
        <f t="shared" si="19"/>
        <v>0</v>
      </c>
      <c r="U8" s="65">
        <f t="shared" si="20"/>
        <v>0</v>
      </c>
      <c r="V8" s="65">
        <f t="shared" si="6"/>
        <v>0</v>
      </c>
      <c r="W8" s="68">
        <f t="shared" si="7"/>
        <v>0</v>
      </c>
      <c r="X8" s="3"/>
      <c r="Y8" s="78">
        <f t="shared" si="29"/>
        <v>1983</v>
      </c>
      <c r="Z8" s="78">
        <f t="shared" si="21"/>
        <v>0</v>
      </c>
      <c r="AA8" s="78" t="str">
        <f t="shared" si="8"/>
        <v/>
      </c>
      <c r="AB8" s="80">
        <v>0.15989787716892828</v>
      </c>
      <c r="AC8" s="81">
        <f t="shared" si="9"/>
        <v>0</v>
      </c>
      <c r="AD8" s="78">
        <f t="shared" si="10"/>
        <v>0</v>
      </c>
      <c r="AE8" s="78">
        <f t="shared" si="22"/>
        <v>0</v>
      </c>
      <c r="AF8" s="78">
        <f t="shared" si="11"/>
        <v>0</v>
      </c>
      <c r="AG8" s="82">
        <v>0.08</v>
      </c>
      <c r="AH8" s="81">
        <f t="shared" si="12"/>
        <v>0</v>
      </c>
      <c r="AI8" s="78">
        <f t="shared" si="13"/>
        <v>0</v>
      </c>
      <c r="AJ8" s="81">
        <f t="shared" si="23"/>
        <v>0</v>
      </c>
      <c r="AK8" s="81">
        <f t="shared" si="14"/>
        <v>0</v>
      </c>
      <c r="AL8" s="80">
        <f t="shared" si="24"/>
        <v>0</v>
      </c>
      <c r="AM8" s="80">
        <f t="shared" si="25"/>
        <v>0</v>
      </c>
      <c r="AN8" s="80">
        <f t="shared" si="26"/>
        <v>0</v>
      </c>
      <c r="AO8" s="83">
        <f t="shared" si="27"/>
        <v>0</v>
      </c>
      <c r="AP8" s="3"/>
      <c r="AW8" s="95" t="str">
        <f t="shared" si="0"/>
        <v/>
      </c>
    </row>
    <row r="9" spans="1:50">
      <c r="A9" s="27" t="s">
        <v>22</v>
      </c>
      <c r="E9" s="8"/>
      <c r="F9" s="9"/>
      <c r="H9" s="63">
        <f t="shared" si="28"/>
        <v>1984</v>
      </c>
      <c r="I9" s="63">
        <f t="shared" si="1"/>
        <v>0</v>
      </c>
      <c r="J9" s="65">
        <v>0.44238372803978315</v>
      </c>
      <c r="K9" s="66">
        <f t="shared" si="2"/>
        <v>0</v>
      </c>
      <c r="L9" s="63">
        <f t="shared" si="15"/>
        <v>0</v>
      </c>
      <c r="M9" s="63">
        <f t="shared" si="16"/>
        <v>0</v>
      </c>
      <c r="N9" s="63">
        <f>IF(I9=time1,M9,0)</f>
        <v>0</v>
      </c>
      <c r="O9" s="67">
        <v>0.08</v>
      </c>
      <c r="P9" s="66">
        <f t="shared" si="4"/>
        <v>0</v>
      </c>
      <c r="Q9" s="63">
        <f t="shared" si="17"/>
        <v>0</v>
      </c>
      <c r="R9" s="66">
        <f t="shared" si="18"/>
        <v>0</v>
      </c>
      <c r="S9" s="66">
        <f t="shared" si="5"/>
        <v>0</v>
      </c>
      <c r="T9" s="65">
        <f t="shared" si="19"/>
        <v>0</v>
      </c>
      <c r="U9" s="65">
        <f t="shared" si="20"/>
        <v>0</v>
      </c>
      <c r="V9" s="65">
        <f t="shared" si="6"/>
        <v>0</v>
      </c>
      <c r="W9" s="68">
        <f t="shared" si="7"/>
        <v>0</v>
      </c>
      <c r="X9" s="3"/>
      <c r="Y9" s="78">
        <f t="shared" si="29"/>
        <v>1984</v>
      </c>
      <c r="Z9" s="78">
        <f t="shared" si="21"/>
        <v>0</v>
      </c>
      <c r="AA9" s="78" t="str">
        <f t="shared" si="8"/>
        <v/>
      </c>
      <c r="AB9" s="80">
        <v>0.44238372803978315</v>
      </c>
      <c r="AC9" s="81">
        <f t="shared" si="9"/>
        <v>0</v>
      </c>
      <c r="AD9" s="78">
        <f t="shared" si="10"/>
        <v>0</v>
      </c>
      <c r="AE9" s="78">
        <f t="shared" si="22"/>
        <v>0</v>
      </c>
      <c r="AF9" s="78">
        <f>IF(Z9=time1,AE9,0)</f>
        <v>0</v>
      </c>
      <c r="AG9" s="82">
        <v>0.08</v>
      </c>
      <c r="AH9" s="81">
        <f t="shared" si="12"/>
        <v>0</v>
      </c>
      <c r="AI9" s="78">
        <f t="shared" si="13"/>
        <v>0</v>
      </c>
      <c r="AJ9" s="81">
        <f t="shared" si="23"/>
        <v>0</v>
      </c>
      <c r="AK9" s="81">
        <f t="shared" si="14"/>
        <v>0</v>
      </c>
      <c r="AL9" s="80">
        <f t="shared" si="24"/>
        <v>0</v>
      </c>
      <c r="AM9" s="80">
        <f t="shared" si="25"/>
        <v>0</v>
      </c>
      <c r="AN9" s="80">
        <f t="shared" si="26"/>
        <v>0</v>
      </c>
      <c r="AO9" s="83">
        <f t="shared" si="27"/>
        <v>0</v>
      </c>
      <c r="AP9" s="3"/>
      <c r="AW9" s="95" t="str">
        <f t="shared" si="0"/>
        <v/>
      </c>
    </row>
    <row r="10" spans="1:50">
      <c r="A10" s="110" t="s">
        <v>116</v>
      </c>
      <c r="B10" s="111"/>
      <c r="C10" s="111"/>
      <c r="D10" s="111"/>
      <c r="E10" s="104">
        <v>0</v>
      </c>
      <c r="F10" s="9"/>
      <c r="H10" s="63">
        <f t="shared" si="28"/>
        <v>1985</v>
      </c>
      <c r="I10" s="63">
        <f t="shared" si="1"/>
        <v>0</v>
      </c>
      <c r="J10" s="65">
        <v>0.62242129655796075</v>
      </c>
      <c r="K10" s="66">
        <f t="shared" si="2"/>
        <v>0</v>
      </c>
      <c r="L10" s="63">
        <f t="shared" si="15"/>
        <v>0</v>
      </c>
      <c r="M10" s="63">
        <f t="shared" si="16"/>
        <v>0</v>
      </c>
      <c r="N10" s="63">
        <f>IF(I10=time1,M10,0)</f>
        <v>0</v>
      </c>
      <c r="O10" s="67">
        <v>8.5000000000000006E-2</v>
      </c>
      <c r="P10" s="66">
        <f t="shared" si="4"/>
        <v>0</v>
      </c>
      <c r="Q10" s="63">
        <f t="shared" si="17"/>
        <v>0</v>
      </c>
      <c r="R10" s="66">
        <f t="shared" si="18"/>
        <v>0</v>
      </c>
      <c r="S10" s="66">
        <f t="shared" si="5"/>
        <v>0</v>
      </c>
      <c r="T10" s="65">
        <f t="shared" si="19"/>
        <v>0</v>
      </c>
      <c r="U10" s="65">
        <f t="shared" si="20"/>
        <v>0</v>
      </c>
      <c r="V10" s="65">
        <f t="shared" si="6"/>
        <v>0</v>
      </c>
      <c r="W10" s="68">
        <f t="shared" si="7"/>
        <v>0</v>
      </c>
      <c r="X10" s="3"/>
      <c r="Y10" s="78">
        <f t="shared" si="29"/>
        <v>1985</v>
      </c>
      <c r="Z10" s="78">
        <f t="shared" si="21"/>
        <v>0</v>
      </c>
      <c r="AA10" s="78" t="str">
        <f t="shared" si="8"/>
        <v/>
      </c>
      <c r="AB10" s="80">
        <v>0.62242129655796075</v>
      </c>
      <c r="AC10" s="81">
        <f t="shared" si="9"/>
        <v>0</v>
      </c>
      <c r="AD10" s="78">
        <f t="shared" si="10"/>
        <v>0</v>
      </c>
      <c r="AE10" s="78">
        <f t="shared" si="22"/>
        <v>0</v>
      </c>
      <c r="AF10" s="78">
        <f>IF(Z10=time1,AE10,0)</f>
        <v>0</v>
      </c>
      <c r="AG10" s="82">
        <v>8.5000000000000006E-2</v>
      </c>
      <c r="AH10" s="81">
        <f t="shared" si="12"/>
        <v>0</v>
      </c>
      <c r="AI10" s="78">
        <f t="shared" si="13"/>
        <v>0</v>
      </c>
      <c r="AJ10" s="81">
        <f t="shared" si="23"/>
        <v>0</v>
      </c>
      <c r="AK10" s="81">
        <f t="shared" si="14"/>
        <v>0</v>
      </c>
      <c r="AL10" s="80">
        <f t="shared" si="24"/>
        <v>0</v>
      </c>
      <c r="AM10" s="80">
        <f t="shared" si="25"/>
        <v>0</v>
      </c>
      <c r="AN10" s="80">
        <f t="shared" si="26"/>
        <v>0</v>
      </c>
      <c r="AO10" s="83">
        <f t="shared" si="27"/>
        <v>0</v>
      </c>
      <c r="AP10" s="3"/>
      <c r="AW10" s="95" t="str">
        <f t="shared" si="0"/>
        <v/>
      </c>
    </row>
    <row r="11" spans="1:50" ht="15" thickBot="1">
      <c r="A11" s="13" t="s">
        <v>117</v>
      </c>
      <c r="B11" s="10"/>
      <c r="C11" s="10"/>
      <c r="D11" s="10"/>
      <c r="E11" s="10"/>
      <c r="F11" s="11"/>
      <c r="H11" s="63">
        <f t="shared" si="28"/>
        <v>1986</v>
      </c>
      <c r="I11" s="63">
        <f t="shared" si="1"/>
        <v>0</v>
      </c>
      <c r="J11" s="65">
        <v>-0.11104143805194128</v>
      </c>
      <c r="K11" s="66">
        <f t="shared" si="2"/>
        <v>0</v>
      </c>
      <c r="L11" s="63">
        <f t="shared" si="15"/>
        <v>0</v>
      </c>
      <c r="M11" s="63">
        <f t="shared" si="16"/>
        <v>0</v>
      </c>
      <c r="N11" s="63">
        <f t="shared" si="3"/>
        <v>0</v>
      </c>
      <c r="O11" s="67">
        <v>8.5000000000000006E-2</v>
      </c>
      <c r="P11" s="66">
        <f t="shared" si="4"/>
        <v>0</v>
      </c>
      <c r="Q11" s="63">
        <f t="shared" si="17"/>
        <v>0</v>
      </c>
      <c r="R11" s="66">
        <f t="shared" si="18"/>
        <v>0</v>
      </c>
      <c r="S11" s="66">
        <f t="shared" si="5"/>
        <v>0</v>
      </c>
      <c r="T11" s="65">
        <f t="shared" si="19"/>
        <v>0</v>
      </c>
      <c r="U11" s="65">
        <f t="shared" si="20"/>
        <v>0</v>
      </c>
      <c r="V11" s="65">
        <f t="shared" si="6"/>
        <v>0</v>
      </c>
      <c r="W11" s="68">
        <f t="shared" si="7"/>
        <v>0</v>
      </c>
      <c r="X11" s="3"/>
      <c r="Y11" s="78">
        <f t="shared" si="29"/>
        <v>1986</v>
      </c>
      <c r="Z11" s="78">
        <f t="shared" si="21"/>
        <v>0</v>
      </c>
      <c r="AA11" s="78" t="str">
        <f t="shared" si="8"/>
        <v/>
      </c>
      <c r="AB11" s="80">
        <v>-0.11104143805194128</v>
      </c>
      <c r="AC11" s="81">
        <f t="shared" si="9"/>
        <v>0</v>
      </c>
      <c r="AD11" s="78">
        <f t="shared" si="10"/>
        <v>0</v>
      </c>
      <c r="AE11" s="78">
        <f t="shared" si="22"/>
        <v>0</v>
      </c>
      <c r="AF11" s="78">
        <f t="shared" ref="AF11:AF36" si="30">IF(Z11=time1,AE11,0)</f>
        <v>0</v>
      </c>
      <c r="AG11" s="82">
        <v>8.5000000000000006E-2</v>
      </c>
      <c r="AH11" s="81">
        <f t="shared" si="12"/>
        <v>0</v>
      </c>
      <c r="AI11" s="78">
        <f t="shared" si="13"/>
        <v>0</v>
      </c>
      <c r="AJ11" s="81">
        <f t="shared" si="23"/>
        <v>0</v>
      </c>
      <c r="AK11" s="81">
        <f t="shared" si="14"/>
        <v>0</v>
      </c>
      <c r="AL11" s="80">
        <f t="shared" si="24"/>
        <v>0</v>
      </c>
      <c r="AM11" s="80">
        <f t="shared" si="25"/>
        <v>0</v>
      </c>
      <c r="AN11" s="80">
        <f t="shared" si="26"/>
        <v>0</v>
      </c>
      <c r="AO11" s="83">
        <f t="shared" si="27"/>
        <v>0</v>
      </c>
      <c r="AP11" s="3"/>
      <c r="AQ11" s="33"/>
      <c r="AW11" s="95" t="str">
        <f t="shared" si="0"/>
        <v/>
      </c>
    </row>
    <row r="12" spans="1:50">
      <c r="A12" s="27"/>
      <c r="H12" s="63">
        <f t="shared" si="28"/>
        <v>1987</v>
      </c>
      <c r="I12" s="63">
        <f t="shared" si="1"/>
        <v>0</v>
      </c>
      <c r="J12" s="65">
        <v>-0.21943334117093818</v>
      </c>
      <c r="K12" s="66">
        <f t="shared" si="2"/>
        <v>0</v>
      </c>
      <c r="L12" s="63">
        <f t="shared" si="15"/>
        <v>0</v>
      </c>
      <c r="M12" s="63">
        <f t="shared" si="16"/>
        <v>0</v>
      </c>
      <c r="N12" s="63">
        <f t="shared" si="3"/>
        <v>0</v>
      </c>
      <c r="O12" s="67">
        <v>0.09</v>
      </c>
      <c r="P12" s="66">
        <f t="shared" si="4"/>
        <v>0</v>
      </c>
      <c r="Q12" s="63">
        <f t="shared" si="17"/>
        <v>0</v>
      </c>
      <c r="R12" s="66">
        <f t="shared" si="18"/>
        <v>0</v>
      </c>
      <c r="S12" s="66">
        <f t="shared" si="5"/>
        <v>0</v>
      </c>
      <c r="T12" s="65">
        <f t="shared" si="19"/>
        <v>0</v>
      </c>
      <c r="U12" s="65">
        <f t="shared" si="20"/>
        <v>0</v>
      </c>
      <c r="V12" s="65">
        <f t="shared" si="6"/>
        <v>0</v>
      </c>
      <c r="W12" s="68">
        <f t="shared" si="7"/>
        <v>0</v>
      </c>
      <c r="X12" s="3"/>
      <c r="Y12" s="78">
        <f t="shared" si="29"/>
        <v>1987</v>
      </c>
      <c r="Z12" s="78">
        <f t="shared" si="21"/>
        <v>0</v>
      </c>
      <c r="AA12" s="78" t="str">
        <f t="shared" si="8"/>
        <v/>
      </c>
      <c r="AB12" s="80">
        <v>-0.21943334117093818</v>
      </c>
      <c r="AC12" s="81">
        <f t="shared" si="9"/>
        <v>0</v>
      </c>
      <c r="AD12" s="78">
        <f t="shared" si="10"/>
        <v>0</v>
      </c>
      <c r="AE12" s="78">
        <f t="shared" si="22"/>
        <v>0</v>
      </c>
      <c r="AF12" s="78">
        <f t="shared" si="30"/>
        <v>0</v>
      </c>
      <c r="AG12" s="82">
        <v>0.09</v>
      </c>
      <c r="AH12" s="81">
        <f t="shared" si="12"/>
        <v>0</v>
      </c>
      <c r="AI12" s="78">
        <f t="shared" si="13"/>
        <v>0</v>
      </c>
      <c r="AJ12" s="81">
        <f t="shared" si="23"/>
        <v>0</v>
      </c>
      <c r="AK12" s="81">
        <f t="shared" si="14"/>
        <v>0</v>
      </c>
      <c r="AL12" s="80">
        <f t="shared" si="24"/>
        <v>0</v>
      </c>
      <c r="AM12" s="80">
        <f t="shared" si="25"/>
        <v>0</v>
      </c>
      <c r="AN12" s="80">
        <f t="shared" si="26"/>
        <v>0</v>
      </c>
      <c r="AO12" s="83">
        <f t="shared" si="27"/>
        <v>0</v>
      </c>
      <c r="AP12" s="3"/>
      <c r="AQ12" s="33"/>
      <c r="AW12" s="95" t="str">
        <f t="shared" si="0"/>
        <v/>
      </c>
    </row>
    <row r="13" spans="1:50">
      <c r="A13" s="38"/>
      <c r="B13" s="38" t="s">
        <v>26</v>
      </c>
      <c r="C13" s="38" t="s">
        <v>27</v>
      </c>
      <c r="D13" s="38" t="s">
        <v>28</v>
      </c>
      <c r="E13" s="38" t="s">
        <v>29</v>
      </c>
      <c r="F13" s="38" t="s">
        <v>30</v>
      </c>
      <c r="H13" s="63">
        <f t="shared" si="28"/>
        <v>1988</v>
      </c>
      <c r="I13" s="63">
        <f t="shared" si="1"/>
        <v>0</v>
      </c>
      <c r="J13" s="65">
        <v>0.79129954564851768</v>
      </c>
      <c r="K13" s="66">
        <f t="shared" si="2"/>
        <v>0</v>
      </c>
      <c r="L13" s="63">
        <f t="shared" si="15"/>
        <v>0</v>
      </c>
      <c r="M13" s="63">
        <f t="shared" si="16"/>
        <v>0</v>
      </c>
      <c r="N13" s="63">
        <f t="shared" si="3"/>
        <v>0</v>
      </c>
      <c r="O13" s="67">
        <v>0.09</v>
      </c>
      <c r="P13" s="66">
        <f t="shared" si="4"/>
        <v>0</v>
      </c>
      <c r="Q13" s="63">
        <f t="shared" si="17"/>
        <v>0</v>
      </c>
      <c r="R13" s="66">
        <f t="shared" si="18"/>
        <v>0</v>
      </c>
      <c r="S13" s="66">
        <f t="shared" si="5"/>
        <v>0</v>
      </c>
      <c r="T13" s="65">
        <f t="shared" si="19"/>
        <v>0</v>
      </c>
      <c r="U13" s="65">
        <f t="shared" si="20"/>
        <v>0</v>
      </c>
      <c r="V13" s="65">
        <f t="shared" si="6"/>
        <v>0</v>
      </c>
      <c r="W13" s="68">
        <f t="shared" si="7"/>
        <v>0</v>
      </c>
      <c r="X13" s="3"/>
      <c r="Y13" s="78">
        <f t="shared" si="29"/>
        <v>1988</v>
      </c>
      <c r="Z13" s="78">
        <f t="shared" si="21"/>
        <v>0</v>
      </c>
      <c r="AA13" s="78" t="str">
        <f t="shared" si="8"/>
        <v/>
      </c>
      <c r="AB13" s="80">
        <v>0.79129954564851768</v>
      </c>
      <c r="AC13" s="81">
        <f t="shared" si="9"/>
        <v>0</v>
      </c>
      <c r="AD13" s="78">
        <f t="shared" si="10"/>
        <v>0</v>
      </c>
      <c r="AE13" s="78">
        <f t="shared" si="22"/>
        <v>0</v>
      </c>
      <c r="AF13" s="78">
        <f t="shared" si="30"/>
        <v>0</v>
      </c>
      <c r="AG13" s="82">
        <v>0.09</v>
      </c>
      <c r="AH13" s="81">
        <f t="shared" si="12"/>
        <v>0</v>
      </c>
      <c r="AI13" s="78">
        <f t="shared" si="13"/>
        <v>0</v>
      </c>
      <c r="AJ13" s="81">
        <f t="shared" si="23"/>
        <v>0</v>
      </c>
      <c r="AK13" s="81">
        <f t="shared" si="14"/>
        <v>0</v>
      </c>
      <c r="AL13" s="80">
        <f t="shared" si="24"/>
        <v>0</v>
      </c>
      <c r="AM13" s="80">
        <f t="shared" si="25"/>
        <v>0</v>
      </c>
      <c r="AN13" s="80">
        <f t="shared" si="26"/>
        <v>0</v>
      </c>
      <c r="AO13" s="83">
        <f t="shared" si="27"/>
        <v>0</v>
      </c>
      <c r="AP13" s="3"/>
      <c r="AW13" s="95" t="str">
        <f t="shared" si="0"/>
        <v/>
      </c>
    </row>
    <row r="14" spans="1:50">
      <c r="A14" s="29" t="s">
        <v>129</v>
      </c>
      <c r="B14" s="32">
        <f>MAX(N2:N57)</f>
        <v>3627964.5121928342</v>
      </c>
      <c r="C14" s="32">
        <f>MAX(S2:S57)</f>
        <v>2354872.7623824859</v>
      </c>
      <c r="D14" s="31">
        <f>B14+C14</f>
        <v>5982837.2745753201</v>
      </c>
      <c r="E14" s="30">
        <f>B14/D14</f>
        <v>0.60639531808933544</v>
      </c>
      <c r="F14" s="30">
        <f>C14/D14</f>
        <v>0.3936046819106645</v>
      </c>
      <c r="H14" s="63">
        <f t="shared" si="28"/>
        <v>1989</v>
      </c>
      <c r="I14" s="63">
        <f t="shared" si="1"/>
        <v>0</v>
      </c>
      <c r="J14" s="65">
        <v>9.4520739910313803E-2</v>
      </c>
      <c r="K14" s="66">
        <f t="shared" si="2"/>
        <v>0</v>
      </c>
      <c r="L14" s="63">
        <f t="shared" si="15"/>
        <v>0</v>
      </c>
      <c r="M14" s="63">
        <f t="shared" si="16"/>
        <v>0</v>
      </c>
      <c r="N14" s="63">
        <f t="shared" si="3"/>
        <v>0</v>
      </c>
      <c r="O14" s="67">
        <v>0.09</v>
      </c>
      <c r="P14" s="66">
        <f t="shared" si="4"/>
        <v>0</v>
      </c>
      <c r="Q14" s="63">
        <f t="shared" si="17"/>
        <v>0</v>
      </c>
      <c r="R14" s="66">
        <f t="shared" si="18"/>
        <v>0</v>
      </c>
      <c r="S14" s="66">
        <f t="shared" si="5"/>
        <v>0</v>
      </c>
      <c r="T14" s="65">
        <f t="shared" si="19"/>
        <v>0</v>
      </c>
      <c r="U14" s="65">
        <f t="shared" si="20"/>
        <v>0</v>
      </c>
      <c r="V14" s="65">
        <f t="shared" si="6"/>
        <v>0</v>
      </c>
      <c r="W14" s="68">
        <f t="shared" si="7"/>
        <v>0</v>
      </c>
      <c r="X14" s="3"/>
      <c r="Y14" s="78">
        <f t="shared" si="29"/>
        <v>1989</v>
      </c>
      <c r="Z14" s="78">
        <f t="shared" si="21"/>
        <v>0</v>
      </c>
      <c r="AA14" s="78" t="str">
        <f t="shared" si="8"/>
        <v/>
      </c>
      <c r="AB14" s="80">
        <v>9.4520739910313803E-2</v>
      </c>
      <c r="AC14" s="81">
        <f t="shared" si="9"/>
        <v>0</v>
      </c>
      <c r="AD14" s="78">
        <f t="shared" si="10"/>
        <v>0</v>
      </c>
      <c r="AE14" s="78">
        <f t="shared" si="22"/>
        <v>0</v>
      </c>
      <c r="AF14" s="78">
        <f t="shared" si="30"/>
        <v>0</v>
      </c>
      <c r="AG14" s="82">
        <v>0.09</v>
      </c>
      <c r="AH14" s="81">
        <f t="shared" si="12"/>
        <v>0</v>
      </c>
      <c r="AI14" s="78">
        <f t="shared" si="13"/>
        <v>0</v>
      </c>
      <c r="AJ14" s="81">
        <f t="shared" si="23"/>
        <v>0</v>
      </c>
      <c r="AK14" s="81">
        <f t="shared" si="14"/>
        <v>0</v>
      </c>
      <c r="AL14" s="80">
        <f t="shared" si="24"/>
        <v>0</v>
      </c>
      <c r="AM14" s="80">
        <f t="shared" si="25"/>
        <v>0</v>
      </c>
      <c r="AN14" s="80">
        <f t="shared" si="26"/>
        <v>0</v>
      </c>
      <c r="AO14" s="83">
        <f t="shared" si="27"/>
        <v>0</v>
      </c>
      <c r="AP14" s="3"/>
      <c r="AW14" s="95" t="str">
        <f t="shared" si="0"/>
        <v/>
      </c>
    </row>
    <row r="15" spans="1:50">
      <c r="A15" s="29" t="s">
        <v>128</v>
      </c>
      <c r="B15" s="32">
        <f>MAX(AF4:AF58)</f>
        <v>3627964.5121928342</v>
      </c>
      <c r="C15" s="32">
        <f>MAX(AK4:AK58)</f>
        <v>2354872.7623824859</v>
      </c>
      <c r="D15" s="31">
        <f>B15+C15</f>
        <v>5982837.2745753201</v>
      </c>
      <c r="E15" s="30">
        <f>B15/D15</f>
        <v>0.60639531808933544</v>
      </c>
      <c r="F15" s="30">
        <f>C15/D15</f>
        <v>0.3936046819106645</v>
      </c>
      <c r="H15" s="63">
        <f t="shared" si="28"/>
        <v>1990</v>
      </c>
      <c r="I15" s="63">
        <f t="shared" si="1"/>
        <v>0</v>
      </c>
      <c r="J15" s="65">
        <v>0.49538441841111336</v>
      </c>
      <c r="K15" s="66">
        <f t="shared" si="2"/>
        <v>0</v>
      </c>
      <c r="L15" s="63">
        <f t="shared" si="15"/>
        <v>0</v>
      </c>
      <c r="M15" s="63">
        <f t="shared" si="16"/>
        <v>0</v>
      </c>
      <c r="N15" s="63">
        <f t="shared" si="3"/>
        <v>0</v>
      </c>
      <c r="O15" s="67">
        <v>0.09</v>
      </c>
      <c r="P15" s="66">
        <f t="shared" si="4"/>
        <v>0</v>
      </c>
      <c r="Q15" s="63">
        <f t="shared" si="17"/>
        <v>0</v>
      </c>
      <c r="R15" s="66">
        <f t="shared" si="18"/>
        <v>0</v>
      </c>
      <c r="S15" s="66">
        <f t="shared" si="5"/>
        <v>0</v>
      </c>
      <c r="T15" s="65">
        <f t="shared" si="19"/>
        <v>0</v>
      </c>
      <c r="U15" s="65">
        <f t="shared" si="20"/>
        <v>0</v>
      </c>
      <c r="V15" s="65">
        <f t="shared" si="6"/>
        <v>0</v>
      </c>
      <c r="W15" s="68">
        <f t="shared" si="7"/>
        <v>0</v>
      </c>
      <c r="X15" s="3"/>
      <c r="Y15" s="78">
        <f t="shared" si="29"/>
        <v>1990</v>
      </c>
      <c r="Z15" s="78">
        <f t="shared" si="21"/>
        <v>0</v>
      </c>
      <c r="AA15" s="78" t="str">
        <f t="shared" si="8"/>
        <v/>
      </c>
      <c r="AB15" s="80">
        <v>0.49538441841111336</v>
      </c>
      <c r="AC15" s="81">
        <f t="shared" si="9"/>
        <v>0</v>
      </c>
      <c r="AD15" s="78">
        <f t="shared" si="10"/>
        <v>0</v>
      </c>
      <c r="AE15" s="78">
        <f t="shared" si="22"/>
        <v>0</v>
      </c>
      <c r="AF15" s="78">
        <f t="shared" si="30"/>
        <v>0</v>
      </c>
      <c r="AG15" s="82">
        <v>0.09</v>
      </c>
      <c r="AH15" s="81">
        <f t="shared" si="12"/>
        <v>0</v>
      </c>
      <c r="AI15" s="78">
        <f t="shared" si="13"/>
        <v>0</v>
      </c>
      <c r="AJ15" s="81">
        <f t="shared" si="23"/>
        <v>0</v>
      </c>
      <c r="AK15" s="81">
        <f t="shared" si="14"/>
        <v>0</v>
      </c>
      <c r="AL15" s="80">
        <f t="shared" si="24"/>
        <v>0</v>
      </c>
      <c r="AM15" s="80">
        <f t="shared" si="25"/>
        <v>0</v>
      </c>
      <c r="AN15" s="80">
        <f t="shared" si="26"/>
        <v>0</v>
      </c>
      <c r="AO15" s="83">
        <f t="shared" si="27"/>
        <v>0</v>
      </c>
      <c r="AP15" s="3"/>
      <c r="AW15" s="95" t="str">
        <f t="shared" si="0"/>
        <v/>
      </c>
    </row>
    <row r="16" spans="1:50">
      <c r="A16" s="27" t="s">
        <v>131</v>
      </c>
      <c r="H16" s="63">
        <f t="shared" si="28"/>
        <v>1991</v>
      </c>
      <c r="I16" s="63">
        <f t="shared" si="1"/>
        <v>0</v>
      </c>
      <c r="J16" s="65">
        <v>2.6687586153753942</v>
      </c>
      <c r="K16" s="66">
        <f t="shared" si="2"/>
        <v>0</v>
      </c>
      <c r="L16" s="63">
        <f t="shared" si="15"/>
        <v>0</v>
      </c>
      <c r="M16" s="63">
        <f t="shared" si="16"/>
        <v>0</v>
      </c>
      <c r="N16" s="63">
        <f t="shared" si="3"/>
        <v>0</v>
      </c>
      <c r="O16" s="67">
        <v>0.12</v>
      </c>
      <c r="P16" s="66">
        <f t="shared" si="4"/>
        <v>0</v>
      </c>
      <c r="Q16" s="63">
        <f t="shared" si="17"/>
        <v>0</v>
      </c>
      <c r="R16" s="66">
        <f t="shared" si="18"/>
        <v>0</v>
      </c>
      <c r="S16" s="66">
        <f t="shared" si="5"/>
        <v>0</v>
      </c>
      <c r="T16" s="65">
        <f t="shared" si="19"/>
        <v>0</v>
      </c>
      <c r="U16" s="65">
        <f t="shared" si="20"/>
        <v>0</v>
      </c>
      <c r="V16" s="65">
        <f t="shared" si="6"/>
        <v>0</v>
      </c>
      <c r="W16" s="68">
        <f t="shared" si="7"/>
        <v>0</v>
      </c>
      <c r="X16" s="3"/>
      <c r="Y16" s="78">
        <f t="shared" si="29"/>
        <v>1991</v>
      </c>
      <c r="Z16" s="78">
        <f t="shared" si="21"/>
        <v>0</v>
      </c>
      <c r="AA16" s="78" t="str">
        <f t="shared" si="8"/>
        <v/>
      </c>
      <c r="AB16" s="80">
        <v>2.6687586153753942</v>
      </c>
      <c r="AC16" s="81">
        <f t="shared" si="9"/>
        <v>0</v>
      </c>
      <c r="AD16" s="78">
        <f t="shared" si="10"/>
        <v>0</v>
      </c>
      <c r="AE16" s="78">
        <f t="shared" si="22"/>
        <v>0</v>
      </c>
      <c r="AF16" s="78">
        <f t="shared" si="30"/>
        <v>0</v>
      </c>
      <c r="AG16" s="82">
        <v>0.12</v>
      </c>
      <c r="AH16" s="81">
        <f t="shared" si="12"/>
        <v>0</v>
      </c>
      <c r="AI16" s="78">
        <f t="shared" si="13"/>
        <v>0</v>
      </c>
      <c r="AJ16" s="81">
        <f t="shared" si="23"/>
        <v>0</v>
      </c>
      <c r="AK16" s="81">
        <f t="shared" si="14"/>
        <v>0</v>
      </c>
      <c r="AL16" s="80">
        <f t="shared" si="24"/>
        <v>0</v>
      </c>
      <c r="AM16" s="80">
        <f t="shared" si="25"/>
        <v>0</v>
      </c>
      <c r="AN16" s="80">
        <f t="shared" si="26"/>
        <v>0</v>
      </c>
      <c r="AO16" s="83">
        <f t="shared" si="27"/>
        <v>0</v>
      </c>
      <c r="AP16" s="3"/>
      <c r="AW16" s="103" t="str">
        <f t="shared" si="0"/>
        <v/>
      </c>
    </row>
    <row r="17" spans="1:49">
      <c r="A17" s="37" t="s">
        <v>44</v>
      </c>
      <c r="B17" s="38"/>
      <c r="C17" s="60">
        <f>(D15-D14)/D14</f>
        <v>0</v>
      </c>
      <c r="D17" s="39"/>
      <c r="H17" s="63">
        <f t="shared" si="28"/>
        <v>1992</v>
      </c>
      <c r="I17" s="63">
        <f t="shared" si="1"/>
        <v>0</v>
      </c>
      <c r="J17" s="65">
        <v>-0.4677899649941657</v>
      </c>
      <c r="K17" s="66">
        <f t="shared" si="2"/>
        <v>0</v>
      </c>
      <c r="L17" s="63">
        <f t="shared" si="15"/>
        <v>0</v>
      </c>
      <c r="M17" s="63">
        <f t="shared" si="16"/>
        <v>0</v>
      </c>
      <c r="N17" s="63">
        <f t="shared" si="3"/>
        <v>0</v>
      </c>
      <c r="O17" s="67">
        <v>0.11</v>
      </c>
      <c r="P17" s="66">
        <f t="shared" si="4"/>
        <v>0</v>
      </c>
      <c r="Q17" s="63">
        <f t="shared" si="17"/>
        <v>0</v>
      </c>
      <c r="R17" s="66">
        <f t="shared" si="18"/>
        <v>0</v>
      </c>
      <c r="S17" s="66">
        <f t="shared" si="5"/>
        <v>0</v>
      </c>
      <c r="T17" s="65">
        <f t="shared" si="19"/>
        <v>0</v>
      </c>
      <c r="U17" s="65">
        <f t="shared" si="20"/>
        <v>0</v>
      </c>
      <c r="V17" s="65">
        <f t="shared" si="6"/>
        <v>0</v>
      </c>
      <c r="W17" s="68">
        <f t="shared" si="7"/>
        <v>0</v>
      </c>
      <c r="X17" s="3"/>
      <c r="Y17" s="78">
        <f t="shared" si="29"/>
        <v>1992</v>
      </c>
      <c r="Z17" s="78">
        <f t="shared" si="21"/>
        <v>0</v>
      </c>
      <c r="AA17" s="78" t="str">
        <f t="shared" si="8"/>
        <v/>
      </c>
      <c r="AB17" s="80">
        <v>-0.4677899649941657</v>
      </c>
      <c r="AC17" s="81">
        <f t="shared" si="9"/>
        <v>0</v>
      </c>
      <c r="AD17" s="78">
        <f t="shared" si="10"/>
        <v>0</v>
      </c>
      <c r="AE17" s="78">
        <f t="shared" si="22"/>
        <v>0</v>
      </c>
      <c r="AF17" s="78">
        <f t="shared" si="30"/>
        <v>0</v>
      </c>
      <c r="AG17" s="82">
        <v>0.11</v>
      </c>
      <c r="AH17" s="81">
        <f t="shared" si="12"/>
        <v>0</v>
      </c>
      <c r="AI17" s="78">
        <f t="shared" si="13"/>
        <v>0</v>
      </c>
      <c r="AJ17" s="81">
        <f t="shared" si="23"/>
        <v>0</v>
      </c>
      <c r="AK17" s="81">
        <f t="shared" si="14"/>
        <v>0</v>
      </c>
      <c r="AL17" s="80">
        <f t="shared" si="24"/>
        <v>0</v>
      </c>
      <c r="AM17" s="80">
        <f t="shared" si="25"/>
        <v>0</v>
      </c>
      <c r="AN17" s="80">
        <f t="shared" si="26"/>
        <v>0</v>
      </c>
      <c r="AO17" s="83">
        <f t="shared" si="27"/>
        <v>0</v>
      </c>
      <c r="AP17" s="3"/>
      <c r="AW17" s="103" t="str">
        <f t="shared" si="0"/>
        <v/>
      </c>
    </row>
    <row r="18" spans="1:49" ht="15" thickBot="1">
      <c r="A18" s="205" t="s">
        <v>122</v>
      </c>
      <c r="B18" s="205"/>
      <c r="C18" s="205"/>
      <c r="D18" s="2"/>
      <c r="H18" s="63">
        <f t="shared" si="28"/>
        <v>1993</v>
      </c>
      <c r="I18" s="63">
        <f t="shared" si="1"/>
        <v>0</v>
      </c>
      <c r="J18" s="65">
        <v>0.65707382526792135</v>
      </c>
      <c r="K18" s="66">
        <f t="shared" si="2"/>
        <v>0</v>
      </c>
      <c r="L18" s="63">
        <f t="shared" si="15"/>
        <v>0</v>
      </c>
      <c r="M18" s="63">
        <f t="shared" si="16"/>
        <v>0</v>
      </c>
      <c r="N18" s="63">
        <f t="shared" si="3"/>
        <v>0</v>
      </c>
      <c r="O18" s="67">
        <v>0.1</v>
      </c>
      <c r="P18" s="66">
        <f t="shared" si="4"/>
        <v>0</v>
      </c>
      <c r="Q18" s="63">
        <f t="shared" si="17"/>
        <v>0</v>
      </c>
      <c r="R18" s="66">
        <f t="shared" si="18"/>
        <v>0</v>
      </c>
      <c r="S18" s="66">
        <f t="shared" si="5"/>
        <v>0</v>
      </c>
      <c r="T18" s="65">
        <f t="shared" si="19"/>
        <v>0</v>
      </c>
      <c r="U18" s="65">
        <f t="shared" si="20"/>
        <v>0</v>
      </c>
      <c r="V18" s="65">
        <f t="shared" si="6"/>
        <v>0</v>
      </c>
      <c r="W18" s="68">
        <f t="shared" si="7"/>
        <v>0</v>
      </c>
      <c r="X18" s="3"/>
      <c r="Y18" s="78">
        <f t="shared" si="29"/>
        <v>1993</v>
      </c>
      <c r="Z18" s="78">
        <f t="shared" si="21"/>
        <v>0</v>
      </c>
      <c r="AA18" s="78" t="str">
        <f t="shared" si="8"/>
        <v/>
      </c>
      <c r="AB18" s="80">
        <v>0.65707382526792135</v>
      </c>
      <c r="AC18" s="81">
        <f t="shared" si="9"/>
        <v>0</v>
      </c>
      <c r="AD18" s="78">
        <f t="shared" si="10"/>
        <v>0</v>
      </c>
      <c r="AE18" s="78">
        <f t="shared" si="22"/>
        <v>0</v>
      </c>
      <c r="AF18" s="78">
        <f t="shared" si="30"/>
        <v>0</v>
      </c>
      <c r="AG18" s="82">
        <v>0.1</v>
      </c>
      <c r="AH18" s="81">
        <f t="shared" si="12"/>
        <v>0</v>
      </c>
      <c r="AI18" s="78">
        <f t="shared" si="13"/>
        <v>0</v>
      </c>
      <c r="AJ18" s="81">
        <f t="shared" si="23"/>
        <v>0</v>
      </c>
      <c r="AK18" s="81">
        <f t="shared" si="14"/>
        <v>0</v>
      </c>
      <c r="AL18" s="80">
        <f t="shared" si="24"/>
        <v>0</v>
      </c>
      <c r="AM18" s="80">
        <f t="shared" si="25"/>
        <v>0</v>
      </c>
      <c r="AN18" s="80">
        <f t="shared" si="26"/>
        <v>0</v>
      </c>
      <c r="AO18" s="83">
        <f t="shared" si="27"/>
        <v>0</v>
      </c>
      <c r="AP18" s="3"/>
      <c r="AW18" s="96"/>
    </row>
    <row r="19" spans="1:49">
      <c r="A19" s="201" t="s">
        <v>119</v>
      </c>
      <c r="B19" s="202"/>
      <c r="C19" s="202"/>
      <c r="D19" s="142"/>
      <c r="E19" s="162"/>
      <c r="F19" s="8"/>
      <c r="H19" s="63">
        <f t="shared" si="28"/>
        <v>1994</v>
      </c>
      <c r="I19" s="63">
        <f t="shared" si="1"/>
        <v>0</v>
      </c>
      <c r="J19" s="65">
        <v>-0.13708160116856616</v>
      </c>
      <c r="K19" s="66">
        <f t="shared" si="2"/>
        <v>0</v>
      </c>
      <c r="L19" s="63">
        <f t="shared" si="15"/>
        <v>0</v>
      </c>
      <c r="M19" s="63">
        <f t="shared" si="16"/>
        <v>0</v>
      </c>
      <c r="N19" s="63">
        <f t="shared" si="3"/>
        <v>0</v>
      </c>
      <c r="O19" s="67">
        <v>0.11</v>
      </c>
      <c r="P19" s="66">
        <f t="shared" si="4"/>
        <v>0</v>
      </c>
      <c r="Q19" s="63">
        <f t="shared" si="17"/>
        <v>0</v>
      </c>
      <c r="R19" s="66">
        <f t="shared" si="18"/>
        <v>0</v>
      </c>
      <c r="S19" s="66">
        <f t="shared" si="5"/>
        <v>0</v>
      </c>
      <c r="T19" s="65">
        <f t="shared" si="19"/>
        <v>0</v>
      </c>
      <c r="U19" s="65">
        <f t="shared" si="20"/>
        <v>0</v>
      </c>
      <c r="V19" s="65">
        <f t="shared" si="6"/>
        <v>0</v>
      </c>
      <c r="W19" s="68">
        <f t="shared" si="7"/>
        <v>0</v>
      </c>
      <c r="X19" s="3"/>
      <c r="Y19" s="78">
        <f t="shared" si="29"/>
        <v>1994</v>
      </c>
      <c r="Z19" s="78">
        <f t="shared" si="21"/>
        <v>0</v>
      </c>
      <c r="AA19" s="78" t="str">
        <f t="shared" si="8"/>
        <v/>
      </c>
      <c r="AB19" s="80">
        <v>-0.13708160116856616</v>
      </c>
      <c r="AC19" s="81">
        <f t="shared" si="9"/>
        <v>0</v>
      </c>
      <c r="AD19" s="78">
        <f t="shared" si="10"/>
        <v>0</v>
      </c>
      <c r="AE19" s="78">
        <f t="shared" si="22"/>
        <v>0</v>
      </c>
      <c r="AF19" s="78">
        <f t="shared" si="30"/>
        <v>0</v>
      </c>
      <c r="AG19" s="82">
        <v>0.11</v>
      </c>
      <c r="AH19" s="81">
        <f t="shared" si="12"/>
        <v>0</v>
      </c>
      <c r="AI19" s="78">
        <f t="shared" si="13"/>
        <v>0</v>
      </c>
      <c r="AJ19" s="81">
        <f t="shared" si="23"/>
        <v>0</v>
      </c>
      <c r="AK19" s="81">
        <f t="shared" si="14"/>
        <v>0</v>
      </c>
      <c r="AL19" s="80">
        <f t="shared" si="24"/>
        <v>0</v>
      </c>
      <c r="AM19" s="80">
        <f t="shared" si="25"/>
        <v>0</v>
      </c>
      <c r="AN19" s="80">
        <f t="shared" si="26"/>
        <v>0</v>
      </c>
      <c r="AO19" s="83">
        <f t="shared" si="27"/>
        <v>0</v>
      </c>
      <c r="AP19" s="3"/>
    </row>
    <row r="20" spans="1:49">
      <c r="A20" s="203" t="s">
        <v>120</v>
      </c>
      <c r="B20" s="204"/>
      <c r="C20" s="204"/>
      <c r="D20" s="143"/>
      <c r="E20" s="163"/>
      <c r="H20" s="63">
        <f t="shared" si="28"/>
        <v>1995</v>
      </c>
      <c r="I20" s="63">
        <f t="shared" si="1"/>
        <v>0</v>
      </c>
      <c r="J20" s="65">
        <v>3.2398434816741109E-2</v>
      </c>
      <c r="K20" s="66">
        <f t="shared" si="2"/>
        <v>0</v>
      </c>
      <c r="L20" s="63">
        <f t="shared" si="15"/>
        <v>0</v>
      </c>
      <c r="M20" s="63">
        <f t="shared" si="16"/>
        <v>0</v>
      </c>
      <c r="N20" s="63">
        <f t="shared" si="3"/>
        <v>0</v>
      </c>
      <c r="O20" s="67">
        <v>0.12</v>
      </c>
      <c r="P20" s="66">
        <f t="shared" si="4"/>
        <v>0</v>
      </c>
      <c r="Q20" s="63">
        <f t="shared" si="17"/>
        <v>0</v>
      </c>
      <c r="R20" s="66">
        <f t="shared" si="18"/>
        <v>0</v>
      </c>
      <c r="S20" s="66">
        <f t="shared" si="5"/>
        <v>0</v>
      </c>
      <c r="T20" s="65">
        <f t="shared" si="19"/>
        <v>0</v>
      </c>
      <c r="U20" s="65">
        <f t="shared" si="20"/>
        <v>0</v>
      </c>
      <c r="V20" s="65">
        <f t="shared" si="6"/>
        <v>0</v>
      </c>
      <c r="W20" s="68">
        <f t="shared" si="7"/>
        <v>0</v>
      </c>
      <c r="X20" s="3"/>
      <c r="Y20" s="78">
        <f t="shared" si="29"/>
        <v>1995</v>
      </c>
      <c r="Z20" s="78">
        <f t="shared" si="21"/>
        <v>0</v>
      </c>
      <c r="AA20" s="78" t="str">
        <f t="shared" si="8"/>
        <v/>
      </c>
      <c r="AB20" s="80">
        <v>3.2398434816741109E-2</v>
      </c>
      <c r="AC20" s="81">
        <f t="shared" si="9"/>
        <v>0</v>
      </c>
      <c r="AD20" s="78">
        <f t="shared" si="10"/>
        <v>0</v>
      </c>
      <c r="AE20" s="78">
        <f t="shared" si="22"/>
        <v>0</v>
      </c>
      <c r="AF20" s="78">
        <f t="shared" si="30"/>
        <v>0</v>
      </c>
      <c r="AG20" s="82">
        <v>0.12</v>
      </c>
      <c r="AH20" s="81">
        <f t="shared" si="12"/>
        <v>0</v>
      </c>
      <c r="AI20" s="78">
        <f t="shared" si="13"/>
        <v>0</v>
      </c>
      <c r="AJ20" s="81">
        <f t="shared" si="23"/>
        <v>0</v>
      </c>
      <c r="AK20" s="81">
        <f t="shared" si="14"/>
        <v>0</v>
      </c>
      <c r="AL20" s="80">
        <f t="shared" si="24"/>
        <v>0</v>
      </c>
      <c r="AM20" s="80">
        <f t="shared" si="25"/>
        <v>0</v>
      </c>
      <c r="AN20" s="80">
        <f t="shared" si="26"/>
        <v>0</v>
      </c>
      <c r="AO20" s="83">
        <f t="shared" si="27"/>
        <v>0</v>
      </c>
      <c r="AP20" s="3"/>
    </row>
    <row r="21" spans="1:49">
      <c r="A21" s="203" t="s">
        <v>121</v>
      </c>
      <c r="B21" s="204"/>
      <c r="C21" s="204"/>
      <c r="D21" s="143"/>
      <c r="E21" s="163"/>
      <c r="H21" s="63">
        <f t="shared" si="28"/>
        <v>1996</v>
      </c>
      <c r="I21" s="63">
        <f t="shared" si="1"/>
        <v>0</v>
      </c>
      <c r="J21" s="65">
        <v>-1.6990384986678749E-3</v>
      </c>
      <c r="K21" s="66">
        <f t="shared" si="2"/>
        <v>0</v>
      </c>
      <c r="L21" s="63">
        <f t="shared" si="15"/>
        <v>0</v>
      </c>
      <c r="M21" s="63">
        <f t="shared" si="16"/>
        <v>0</v>
      </c>
      <c r="N21" s="63">
        <f t="shared" si="3"/>
        <v>0</v>
      </c>
      <c r="O21" s="67">
        <v>0.12</v>
      </c>
      <c r="P21" s="66">
        <f t="shared" si="4"/>
        <v>0</v>
      </c>
      <c r="Q21" s="63">
        <f t="shared" si="17"/>
        <v>0</v>
      </c>
      <c r="R21" s="66">
        <f t="shared" si="18"/>
        <v>0</v>
      </c>
      <c r="S21" s="66">
        <f t="shared" si="5"/>
        <v>0</v>
      </c>
      <c r="T21" s="65">
        <f t="shared" si="19"/>
        <v>0</v>
      </c>
      <c r="U21" s="65">
        <f t="shared" si="20"/>
        <v>0</v>
      </c>
      <c r="V21" s="65">
        <f t="shared" si="6"/>
        <v>0</v>
      </c>
      <c r="W21" s="68">
        <f t="shared" si="7"/>
        <v>0</v>
      </c>
      <c r="X21" s="3"/>
      <c r="Y21" s="78">
        <f t="shared" si="29"/>
        <v>1996</v>
      </c>
      <c r="Z21" s="78">
        <f t="shared" si="21"/>
        <v>0</v>
      </c>
      <c r="AA21" s="78" t="str">
        <f t="shared" si="8"/>
        <v/>
      </c>
      <c r="AB21" s="80">
        <v>-1.6990384986678749E-3</v>
      </c>
      <c r="AC21" s="81">
        <f t="shared" si="9"/>
        <v>0</v>
      </c>
      <c r="AD21" s="78">
        <f t="shared" si="10"/>
        <v>0</v>
      </c>
      <c r="AE21" s="78">
        <f t="shared" si="22"/>
        <v>0</v>
      </c>
      <c r="AF21" s="78">
        <f t="shared" si="30"/>
        <v>0</v>
      </c>
      <c r="AG21" s="82">
        <v>0.12</v>
      </c>
      <c r="AH21" s="81">
        <f t="shared" si="12"/>
        <v>0</v>
      </c>
      <c r="AI21" s="78">
        <f t="shared" si="13"/>
        <v>0</v>
      </c>
      <c r="AJ21" s="81">
        <f t="shared" si="23"/>
        <v>0</v>
      </c>
      <c r="AK21" s="81">
        <f t="shared" si="14"/>
        <v>0</v>
      </c>
      <c r="AL21" s="80">
        <f t="shared" si="24"/>
        <v>0</v>
      </c>
      <c r="AM21" s="80">
        <f t="shared" si="25"/>
        <v>0</v>
      </c>
      <c r="AN21" s="80">
        <f t="shared" si="26"/>
        <v>0</v>
      </c>
      <c r="AO21" s="83">
        <f t="shared" si="27"/>
        <v>0</v>
      </c>
      <c r="AP21" s="3"/>
    </row>
    <row r="22" spans="1:49" ht="15" thickBot="1">
      <c r="A22" s="160">
        <f>D3</f>
        <v>1980</v>
      </c>
      <c r="B22" s="144" t="s">
        <v>11</v>
      </c>
      <c r="C22" s="161">
        <f>F3</f>
        <v>2002</v>
      </c>
      <c r="D22" s="145"/>
      <c r="E22" s="164"/>
      <c r="H22" s="63">
        <f t="shared" si="28"/>
        <v>1997</v>
      </c>
      <c r="I22" s="63">
        <f t="shared" si="1"/>
        <v>0</v>
      </c>
      <c r="J22" s="65">
        <v>0.15824974932235217</v>
      </c>
      <c r="K22" s="66">
        <f t="shared" si="2"/>
        <v>0</v>
      </c>
      <c r="L22" s="63">
        <f t="shared" si="15"/>
        <v>0</v>
      </c>
      <c r="M22" s="63">
        <f t="shared" si="16"/>
        <v>0</v>
      </c>
      <c r="N22" s="63">
        <f t="shared" si="3"/>
        <v>0</v>
      </c>
      <c r="O22" s="67">
        <v>0.11</v>
      </c>
      <c r="P22" s="66">
        <f t="shared" si="4"/>
        <v>0</v>
      </c>
      <c r="Q22" s="63">
        <f t="shared" si="17"/>
        <v>0</v>
      </c>
      <c r="R22" s="66">
        <f t="shared" si="18"/>
        <v>0</v>
      </c>
      <c r="S22" s="66">
        <f t="shared" si="5"/>
        <v>0</v>
      </c>
      <c r="T22" s="65">
        <f t="shared" si="19"/>
        <v>0</v>
      </c>
      <c r="U22" s="65">
        <f t="shared" si="20"/>
        <v>0</v>
      </c>
      <c r="V22" s="65">
        <f t="shared" si="6"/>
        <v>0</v>
      </c>
      <c r="W22" s="68">
        <f t="shared" si="7"/>
        <v>0</v>
      </c>
      <c r="X22" s="3"/>
      <c r="Y22" s="78">
        <f t="shared" si="29"/>
        <v>1997</v>
      </c>
      <c r="Z22" s="78">
        <f t="shared" si="21"/>
        <v>0</v>
      </c>
      <c r="AA22" s="78" t="str">
        <f t="shared" si="8"/>
        <v/>
      </c>
      <c r="AB22" s="80">
        <v>0.15824974932235217</v>
      </c>
      <c r="AC22" s="81">
        <f t="shared" si="9"/>
        <v>0</v>
      </c>
      <c r="AD22" s="78">
        <f t="shared" si="10"/>
        <v>0</v>
      </c>
      <c r="AE22" s="78">
        <f t="shared" si="22"/>
        <v>0</v>
      </c>
      <c r="AF22" s="78">
        <f t="shared" si="30"/>
        <v>0</v>
      </c>
      <c r="AG22" s="82">
        <v>0.11</v>
      </c>
      <c r="AH22" s="81">
        <f t="shared" si="12"/>
        <v>0</v>
      </c>
      <c r="AI22" s="78">
        <f t="shared" si="13"/>
        <v>0</v>
      </c>
      <c r="AJ22" s="81">
        <f t="shared" si="23"/>
        <v>0</v>
      </c>
      <c r="AK22" s="81">
        <f t="shared" si="14"/>
        <v>0</v>
      </c>
      <c r="AL22" s="80">
        <f t="shared" si="24"/>
        <v>0</v>
      </c>
      <c r="AM22" s="80">
        <f t="shared" si="25"/>
        <v>0</v>
      </c>
      <c r="AN22" s="80">
        <f t="shared" si="26"/>
        <v>0</v>
      </c>
      <c r="AO22" s="83">
        <f t="shared" si="27"/>
        <v>0</v>
      </c>
      <c r="AP22" s="3"/>
    </row>
    <row r="23" spans="1:49" ht="15" thickBot="1">
      <c r="A23" s="154" t="s">
        <v>127</v>
      </c>
      <c r="B23" s="10"/>
      <c r="C23" s="10"/>
      <c r="D23" s="159">
        <f>AVERAGE(B26:B48)</f>
        <v>0</v>
      </c>
      <c r="E23" s="9"/>
      <c r="H23" s="63">
        <f t="shared" si="28"/>
        <v>1998</v>
      </c>
      <c r="I23" s="63">
        <f t="shared" si="1"/>
        <v>0</v>
      </c>
      <c r="J23" s="65">
        <v>-3.9249887611585633E-2</v>
      </c>
      <c r="K23" s="66">
        <f t="shared" si="2"/>
        <v>0</v>
      </c>
      <c r="L23" s="63">
        <f t="shared" si="15"/>
        <v>0</v>
      </c>
      <c r="M23" s="63">
        <f t="shared" si="16"/>
        <v>0</v>
      </c>
      <c r="N23" s="63">
        <f t="shared" si="3"/>
        <v>0</v>
      </c>
      <c r="O23" s="67">
        <v>0.105</v>
      </c>
      <c r="P23" s="66">
        <f t="shared" si="4"/>
        <v>0</v>
      </c>
      <c r="Q23" s="63">
        <f t="shared" si="17"/>
        <v>0</v>
      </c>
      <c r="R23" s="66">
        <f t="shared" si="18"/>
        <v>0</v>
      </c>
      <c r="S23" s="66">
        <f t="shared" si="5"/>
        <v>0</v>
      </c>
      <c r="T23" s="65">
        <f t="shared" si="19"/>
        <v>0</v>
      </c>
      <c r="U23" s="65">
        <f t="shared" si="20"/>
        <v>0</v>
      </c>
      <c r="V23" s="65">
        <f t="shared" si="6"/>
        <v>0</v>
      </c>
      <c r="W23" s="68">
        <f t="shared" si="7"/>
        <v>0</v>
      </c>
      <c r="X23" s="3"/>
      <c r="Y23" s="78">
        <f t="shared" si="29"/>
        <v>1998</v>
      </c>
      <c r="Z23" s="78">
        <f t="shared" si="21"/>
        <v>0</v>
      </c>
      <c r="AA23" s="78" t="str">
        <f t="shared" si="8"/>
        <v/>
      </c>
      <c r="AB23" s="80">
        <v>-3.9249887611585633E-2</v>
      </c>
      <c r="AC23" s="81">
        <f t="shared" si="9"/>
        <v>0</v>
      </c>
      <c r="AD23" s="78">
        <f t="shared" si="10"/>
        <v>0</v>
      </c>
      <c r="AE23" s="78">
        <f t="shared" si="22"/>
        <v>0</v>
      </c>
      <c r="AF23" s="78">
        <f t="shared" si="30"/>
        <v>0</v>
      </c>
      <c r="AG23" s="82">
        <v>0.105</v>
      </c>
      <c r="AH23" s="81">
        <f t="shared" si="12"/>
        <v>0</v>
      </c>
      <c r="AI23" s="78">
        <f t="shared" si="13"/>
        <v>0</v>
      </c>
      <c r="AJ23" s="81">
        <f t="shared" si="23"/>
        <v>0</v>
      </c>
      <c r="AK23" s="81">
        <f t="shared" si="14"/>
        <v>0</v>
      </c>
      <c r="AL23" s="80">
        <f t="shared" si="24"/>
        <v>0</v>
      </c>
      <c r="AM23" s="80">
        <f t="shared" si="25"/>
        <v>0</v>
      </c>
      <c r="AN23" s="80">
        <f t="shared" si="26"/>
        <v>0</v>
      </c>
      <c r="AO23" s="83">
        <f t="shared" si="27"/>
        <v>0</v>
      </c>
      <c r="AP23" s="3"/>
    </row>
    <row r="24" spans="1:49">
      <c r="A24" s="7"/>
      <c r="B24" s="8"/>
      <c r="C24" s="8"/>
      <c r="D24" s="8"/>
      <c r="E24" s="9"/>
      <c r="H24" s="63">
        <f t="shared" si="28"/>
        <v>1999</v>
      </c>
      <c r="I24" s="63">
        <f t="shared" si="1"/>
        <v>0</v>
      </c>
      <c r="J24" s="65">
        <v>0.33725494390314326</v>
      </c>
      <c r="K24" s="66">
        <f t="shared" si="2"/>
        <v>0</v>
      </c>
      <c r="L24" s="63">
        <f t="shared" si="15"/>
        <v>0</v>
      </c>
      <c r="M24" s="63">
        <f t="shared" si="16"/>
        <v>0</v>
      </c>
      <c r="N24" s="63">
        <f t="shared" si="3"/>
        <v>0</v>
      </c>
      <c r="O24" s="67">
        <v>8.5000000000000006E-2</v>
      </c>
      <c r="P24" s="66">
        <f t="shared" si="4"/>
        <v>0</v>
      </c>
      <c r="Q24" s="63">
        <f t="shared" si="17"/>
        <v>0</v>
      </c>
      <c r="R24" s="66">
        <f t="shared" si="18"/>
        <v>0</v>
      </c>
      <c r="S24" s="66">
        <f t="shared" si="5"/>
        <v>0</v>
      </c>
      <c r="T24" s="65">
        <f t="shared" si="19"/>
        <v>0</v>
      </c>
      <c r="U24" s="65">
        <f t="shared" si="20"/>
        <v>0</v>
      </c>
      <c r="V24" s="65">
        <f t="shared" si="6"/>
        <v>0</v>
      </c>
      <c r="W24" s="68">
        <f t="shared" si="7"/>
        <v>0</v>
      </c>
      <c r="X24" s="3"/>
      <c r="Y24" s="78">
        <f t="shared" si="29"/>
        <v>1999</v>
      </c>
      <c r="Z24" s="78">
        <f t="shared" si="21"/>
        <v>0</v>
      </c>
      <c r="AA24" s="78" t="str">
        <f t="shared" si="8"/>
        <v/>
      </c>
      <c r="AB24" s="80">
        <v>0.33725494390314326</v>
      </c>
      <c r="AC24" s="81">
        <f t="shared" si="9"/>
        <v>0</v>
      </c>
      <c r="AD24" s="78">
        <f t="shared" si="10"/>
        <v>0</v>
      </c>
      <c r="AE24" s="78">
        <f t="shared" si="22"/>
        <v>0</v>
      </c>
      <c r="AF24" s="78">
        <f t="shared" si="30"/>
        <v>0</v>
      </c>
      <c r="AG24" s="82">
        <v>8.5000000000000006E-2</v>
      </c>
      <c r="AH24" s="81">
        <f t="shared" si="12"/>
        <v>0</v>
      </c>
      <c r="AI24" s="78">
        <f t="shared" si="13"/>
        <v>0</v>
      </c>
      <c r="AJ24" s="81">
        <f t="shared" si="23"/>
        <v>0</v>
      </c>
      <c r="AK24" s="81">
        <f t="shared" si="14"/>
        <v>0</v>
      </c>
      <c r="AL24" s="80">
        <f t="shared" si="24"/>
        <v>0</v>
      </c>
      <c r="AM24" s="80">
        <f t="shared" si="25"/>
        <v>0</v>
      </c>
      <c r="AN24" s="80">
        <f t="shared" si="26"/>
        <v>0</v>
      </c>
      <c r="AO24" s="83">
        <f t="shared" si="27"/>
        <v>0</v>
      </c>
      <c r="AP24" s="3"/>
    </row>
    <row r="25" spans="1:49">
      <c r="A25" s="170" t="s">
        <v>0</v>
      </c>
      <c r="B25" s="123" t="s">
        <v>118</v>
      </c>
      <c r="C25" s="151"/>
      <c r="D25" s="151"/>
      <c r="E25" s="9"/>
      <c r="H25" s="63">
        <f t="shared" si="28"/>
        <v>2000</v>
      </c>
      <c r="I25" s="63">
        <f t="shared" si="1"/>
        <v>0</v>
      </c>
      <c r="J25" s="65">
        <v>-0.27930849702476163</v>
      </c>
      <c r="K25" s="66">
        <f t="shared" si="2"/>
        <v>0</v>
      </c>
      <c r="L25" s="63">
        <f t="shared" si="15"/>
        <v>0</v>
      </c>
      <c r="M25" s="63">
        <f t="shared" si="16"/>
        <v>0</v>
      </c>
      <c r="N25" s="63">
        <f t="shared" si="3"/>
        <v>0</v>
      </c>
      <c r="O25" s="67">
        <v>8.5000000000000006E-2</v>
      </c>
      <c r="P25" s="66">
        <f t="shared" si="4"/>
        <v>0</v>
      </c>
      <c r="Q25" s="63">
        <f t="shared" si="17"/>
        <v>0</v>
      </c>
      <c r="R25" s="66">
        <f t="shared" si="18"/>
        <v>0</v>
      </c>
      <c r="S25" s="66">
        <f t="shared" si="5"/>
        <v>0</v>
      </c>
      <c r="T25" s="65">
        <f t="shared" si="19"/>
        <v>0</v>
      </c>
      <c r="U25" s="65">
        <f t="shared" si="20"/>
        <v>0</v>
      </c>
      <c r="V25" s="65">
        <f t="shared" si="6"/>
        <v>0</v>
      </c>
      <c r="W25" s="68">
        <f t="shared" si="7"/>
        <v>0</v>
      </c>
      <c r="X25" s="3"/>
      <c r="Y25" s="78">
        <f t="shared" si="29"/>
        <v>2000</v>
      </c>
      <c r="Z25" s="78">
        <f t="shared" si="21"/>
        <v>0</v>
      </c>
      <c r="AA25" s="78" t="str">
        <f t="shared" si="8"/>
        <v/>
      </c>
      <c r="AB25" s="80">
        <v>-0.27930849702476163</v>
      </c>
      <c r="AC25" s="81">
        <f t="shared" si="9"/>
        <v>0</v>
      </c>
      <c r="AD25" s="78">
        <f t="shared" si="10"/>
        <v>0</v>
      </c>
      <c r="AE25" s="78">
        <f t="shared" si="22"/>
        <v>0</v>
      </c>
      <c r="AF25" s="78">
        <f t="shared" si="30"/>
        <v>0</v>
      </c>
      <c r="AG25" s="82">
        <v>8.5000000000000006E-2</v>
      </c>
      <c r="AH25" s="81">
        <f t="shared" si="12"/>
        <v>0</v>
      </c>
      <c r="AI25" s="78">
        <f t="shared" si="13"/>
        <v>0</v>
      </c>
      <c r="AJ25" s="81">
        <f t="shared" si="23"/>
        <v>0</v>
      </c>
      <c r="AK25" s="81">
        <f t="shared" si="14"/>
        <v>0</v>
      </c>
      <c r="AL25" s="80">
        <f t="shared" si="24"/>
        <v>0</v>
      </c>
      <c r="AM25" s="80">
        <f t="shared" si="25"/>
        <v>0</v>
      </c>
      <c r="AN25" s="80">
        <f t="shared" si="26"/>
        <v>0</v>
      </c>
      <c r="AO25" s="83">
        <f t="shared" si="27"/>
        <v>0</v>
      </c>
      <c r="AP25" s="3"/>
    </row>
    <row r="26" spans="1:49">
      <c r="A26" s="171">
        <v>1980</v>
      </c>
      <c r="B26" s="129">
        <v>0</v>
      </c>
      <c r="C26" s="152"/>
      <c r="D26" s="147"/>
      <c r="E26" s="9"/>
      <c r="H26" s="63">
        <f t="shared" si="28"/>
        <v>2001</v>
      </c>
      <c r="I26" s="63">
        <f t="shared" si="1"/>
        <v>0</v>
      </c>
      <c r="J26" s="65">
        <v>-3.7462753649726219E-2</v>
      </c>
      <c r="K26" s="66">
        <f t="shared" si="2"/>
        <v>0</v>
      </c>
      <c r="L26" s="63">
        <f t="shared" si="15"/>
        <v>0</v>
      </c>
      <c r="M26" s="63">
        <f t="shared" si="16"/>
        <v>0</v>
      </c>
      <c r="N26" s="63">
        <f t="shared" si="3"/>
        <v>0</v>
      </c>
      <c r="O26" s="67">
        <v>7.4999999999999997E-2</v>
      </c>
      <c r="P26" s="66">
        <f t="shared" si="4"/>
        <v>0</v>
      </c>
      <c r="Q26" s="63">
        <f t="shared" si="17"/>
        <v>0</v>
      </c>
      <c r="R26" s="66">
        <f t="shared" si="18"/>
        <v>0</v>
      </c>
      <c r="S26" s="66">
        <f t="shared" si="5"/>
        <v>0</v>
      </c>
      <c r="T26" s="65">
        <f t="shared" si="19"/>
        <v>0</v>
      </c>
      <c r="U26" s="65">
        <f t="shared" si="20"/>
        <v>0</v>
      </c>
      <c r="V26" s="65">
        <f t="shared" si="6"/>
        <v>0</v>
      </c>
      <c r="W26" s="68">
        <f t="shared" si="7"/>
        <v>0</v>
      </c>
      <c r="X26" s="3"/>
      <c r="Y26" s="78">
        <f t="shared" si="29"/>
        <v>2001</v>
      </c>
      <c r="Z26" s="78">
        <f t="shared" si="21"/>
        <v>0</v>
      </c>
      <c r="AA26" s="78" t="str">
        <f t="shared" si="8"/>
        <v/>
      </c>
      <c r="AB26" s="80">
        <v>-3.7462753649726219E-2</v>
      </c>
      <c r="AC26" s="81">
        <f t="shared" si="9"/>
        <v>0</v>
      </c>
      <c r="AD26" s="78">
        <f t="shared" si="10"/>
        <v>0</v>
      </c>
      <c r="AE26" s="78">
        <f t="shared" si="22"/>
        <v>0</v>
      </c>
      <c r="AF26" s="78">
        <f t="shared" si="30"/>
        <v>0</v>
      </c>
      <c r="AG26" s="82">
        <v>7.4999999999999997E-2</v>
      </c>
      <c r="AH26" s="81">
        <f t="shared" si="12"/>
        <v>0</v>
      </c>
      <c r="AI26" s="78">
        <f t="shared" si="13"/>
        <v>0</v>
      </c>
      <c r="AJ26" s="81">
        <f t="shared" si="23"/>
        <v>0</v>
      </c>
      <c r="AK26" s="81">
        <f t="shared" si="14"/>
        <v>0</v>
      </c>
      <c r="AL26" s="80">
        <f t="shared" si="24"/>
        <v>0</v>
      </c>
      <c r="AM26" s="80">
        <f t="shared" si="25"/>
        <v>0</v>
      </c>
      <c r="AN26" s="80">
        <f t="shared" si="26"/>
        <v>0</v>
      </c>
      <c r="AO26" s="83">
        <f t="shared" si="27"/>
        <v>0</v>
      </c>
      <c r="AP26" s="3"/>
    </row>
    <row r="27" spans="1:49">
      <c r="A27" s="171">
        <v>1981</v>
      </c>
      <c r="B27" s="129">
        <v>0</v>
      </c>
      <c r="C27" s="152"/>
      <c r="D27" s="147"/>
      <c r="E27" s="9"/>
      <c r="H27" s="63">
        <f t="shared" si="28"/>
        <v>2002</v>
      </c>
      <c r="I27" s="63">
        <f t="shared" si="1"/>
        <v>1</v>
      </c>
      <c r="J27" s="65">
        <v>-0.12124173116001562</v>
      </c>
      <c r="K27" s="66">
        <f t="shared" si="2"/>
        <v>150000</v>
      </c>
      <c r="L27" s="63">
        <f t="shared" si="15"/>
        <v>0</v>
      </c>
      <c r="M27" s="63">
        <f t="shared" si="16"/>
        <v>131813.74032599767</v>
      </c>
      <c r="N27" s="63">
        <f t="shared" si="3"/>
        <v>0</v>
      </c>
      <c r="O27" s="67">
        <v>4.2500000000000003E-2</v>
      </c>
      <c r="P27" s="66">
        <f t="shared" si="4"/>
        <v>150000</v>
      </c>
      <c r="Q27" s="63">
        <f t="shared" si="17"/>
        <v>0</v>
      </c>
      <c r="R27" s="66">
        <f t="shared" si="18"/>
        <v>156375</v>
      </c>
      <c r="S27" s="66">
        <f t="shared" si="5"/>
        <v>0</v>
      </c>
      <c r="T27" s="65">
        <f t="shared" si="19"/>
        <v>0.5</v>
      </c>
      <c r="U27" s="65">
        <f t="shared" si="20"/>
        <v>0.5</v>
      </c>
      <c r="V27" s="65">
        <f t="shared" si="6"/>
        <v>0.4573868506343815</v>
      </c>
      <c r="W27" s="68">
        <f t="shared" si="7"/>
        <v>0.54261314936561833</v>
      </c>
      <c r="X27" s="3"/>
      <c r="Y27" s="78">
        <f t="shared" si="29"/>
        <v>2002</v>
      </c>
      <c r="Z27" s="78">
        <f t="shared" si="21"/>
        <v>1</v>
      </c>
      <c r="AA27" s="78">
        <f t="shared" si="8"/>
        <v>1</v>
      </c>
      <c r="AB27" s="80">
        <v>-0.12124173116001562</v>
      </c>
      <c r="AC27" s="81">
        <f t="shared" si="9"/>
        <v>150000</v>
      </c>
      <c r="AD27" s="78">
        <f t="shared" si="10"/>
        <v>0</v>
      </c>
      <c r="AE27" s="78">
        <f t="shared" si="22"/>
        <v>131813.74032599767</v>
      </c>
      <c r="AF27" s="78">
        <f t="shared" si="30"/>
        <v>0</v>
      </c>
      <c r="AG27" s="82">
        <v>4.2500000000000003E-2</v>
      </c>
      <c r="AH27" s="81">
        <f t="shared" si="12"/>
        <v>150000</v>
      </c>
      <c r="AI27" s="78">
        <f t="shared" si="13"/>
        <v>0</v>
      </c>
      <c r="AJ27" s="81">
        <f t="shared" si="23"/>
        <v>156375</v>
      </c>
      <c r="AK27" s="81">
        <f t="shared" si="14"/>
        <v>0</v>
      </c>
      <c r="AL27" s="80">
        <f t="shared" si="24"/>
        <v>0.5</v>
      </c>
      <c r="AM27" s="80">
        <f t="shared" si="25"/>
        <v>0.5</v>
      </c>
      <c r="AN27" s="80">
        <f t="shared" si="26"/>
        <v>0.4573868506343815</v>
      </c>
      <c r="AO27" s="83">
        <f t="shared" si="27"/>
        <v>0.54261314936561833</v>
      </c>
      <c r="AP27" s="3"/>
    </row>
    <row r="28" spans="1:49">
      <c r="A28" s="171">
        <v>1982</v>
      </c>
      <c r="B28" s="129">
        <v>0</v>
      </c>
      <c r="C28" s="152"/>
      <c r="D28" s="147"/>
      <c r="E28" s="9"/>
      <c r="H28" s="63">
        <f t="shared" si="28"/>
        <v>2003</v>
      </c>
      <c r="I28" s="63">
        <f t="shared" si="1"/>
        <v>2</v>
      </c>
      <c r="J28" s="65">
        <v>0.8337531816631244</v>
      </c>
      <c r="K28" s="66">
        <f t="shared" si="2"/>
        <v>150000</v>
      </c>
      <c r="L28" s="63">
        <f t="shared" si="15"/>
        <v>131813.74032599767</v>
      </c>
      <c r="M28" s="63">
        <f t="shared" si="16"/>
        <v>516776.84295918379</v>
      </c>
      <c r="N28" s="63">
        <f t="shared" si="3"/>
        <v>0</v>
      </c>
      <c r="O28" s="67">
        <v>0.04</v>
      </c>
      <c r="P28" s="66">
        <f t="shared" si="4"/>
        <v>150000</v>
      </c>
      <c r="Q28" s="63">
        <f t="shared" si="17"/>
        <v>156375</v>
      </c>
      <c r="R28" s="66">
        <f t="shared" si="18"/>
        <v>318630</v>
      </c>
      <c r="S28" s="66">
        <f t="shared" si="5"/>
        <v>0</v>
      </c>
      <c r="T28" s="65">
        <f t="shared" si="19"/>
        <v>0.47912127690476575</v>
      </c>
      <c r="U28" s="65">
        <f t="shared" si="20"/>
        <v>0.5208787230952342</v>
      </c>
      <c r="V28" s="65">
        <f t="shared" si="6"/>
        <v>0.61859302125016524</v>
      </c>
      <c r="W28" s="68">
        <f t="shared" si="7"/>
        <v>0.38140697874983481</v>
      </c>
      <c r="X28" s="3"/>
      <c r="Y28" s="78">
        <f t="shared" si="29"/>
        <v>2003</v>
      </c>
      <c r="Z28" s="78">
        <f t="shared" si="21"/>
        <v>2</v>
      </c>
      <c r="AA28" s="78">
        <f t="shared" si="8"/>
        <v>1</v>
      </c>
      <c r="AB28" s="80">
        <v>0.8337531816631244</v>
      </c>
      <c r="AC28" s="81">
        <f t="shared" si="9"/>
        <v>150000</v>
      </c>
      <c r="AD28" s="78">
        <f t="shared" si="10"/>
        <v>131813.74032599767</v>
      </c>
      <c r="AE28" s="78">
        <f t="shared" si="22"/>
        <v>516776.84295918379</v>
      </c>
      <c r="AF28" s="78">
        <f t="shared" si="30"/>
        <v>0</v>
      </c>
      <c r="AG28" s="82">
        <v>0.04</v>
      </c>
      <c r="AH28" s="81">
        <f t="shared" si="12"/>
        <v>150000</v>
      </c>
      <c r="AI28" s="78">
        <f t="shared" si="13"/>
        <v>156375</v>
      </c>
      <c r="AJ28" s="81">
        <f t="shared" si="23"/>
        <v>318630</v>
      </c>
      <c r="AK28" s="81">
        <f t="shared" si="14"/>
        <v>0</v>
      </c>
      <c r="AL28" s="80">
        <f t="shared" si="24"/>
        <v>0.47912127690476575</v>
      </c>
      <c r="AM28" s="80">
        <f t="shared" si="25"/>
        <v>0.5208787230952342</v>
      </c>
      <c r="AN28" s="80">
        <f t="shared" si="26"/>
        <v>0.61859302125016524</v>
      </c>
      <c r="AO28" s="83">
        <f t="shared" si="27"/>
        <v>0.38140697874983481</v>
      </c>
      <c r="AP28" s="3"/>
    </row>
    <row r="29" spans="1:49">
      <c r="A29" s="171">
        <v>1983</v>
      </c>
      <c r="B29" s="129">
        <v>0</v>
      </c>
      <c r="C29" s="152"/>
      <c r="D29" s="147"/>
      <c r="E29" s="9"/>
      <c r="H29" s="63">
        <f t="shared" si="28"/>
        <v>2004</v>
      </c>
      <c r="I29" s="63">
        <f t="shared" si="1"/>
        <v>3</v>
      </c>
      <c r="J29" s="65">
        <v>0.16138160483669003</v>
      </c>
      <c r="K29" s="66">
        <f t="shared" si="2"/>
        <v>150000</v>
      </c>
      <c r="L29" s="63">
        <f t="shared" si="15"/>
        <v>516776.84295918379</v>
      </c>
      <c r="M29" s="63">
        <f t="shared" si="16"/>
        <v>774382.35994387849</v>
      </c>
      <c r="N29" s="63">
        <f t="shared" si="3"/>
        <v>0</v>
      </c>
      <c r="O29" s="67">
        <v>5.2499999999999998E-2</v>
      </c>
      <c r="P29" s="66">
        <f t="shared" si="4"/>
        <v>150000</v>
      </c>
      <c r="Q29" s="63">
        <f t="shared" si="17"/>
        <v>318630</v>
      </c>
      <c r="R29" s="66">
        <f t="shared" si="18"/>
        <v>493233.07500000001</v>
      </c>
      <c r="S29" s="66">
        <f t="shared" si="5"/>
        <v>0</v>
      </c>
      <c r="T29" s="65">
        <f t="shared" si="19"/>
        <v>0.58725808030307369</v>
      </c>
      <c r="U29" s="65">
        <f t="shared" si="20"/>
        <v>0.41274191969692631</v>
      </c>
      <c r="V29" s="65">
        <f t="shared" si="6"/>
        <v>0.61089691604943486</v>
      </c>
      <c r="W29" s="68">
        <f t="shared" si="7"/>
        <v>0.38910308395056503</v>
      </c>
      <c r="X29" s="3"/>
      <c r="Y29" s="78">
        <f t="shared" si="29"/>
        <v>2004</v>
      </c>
      <c r="Z29" s="78">
        <f t="shared" si="21"/>
        <v>3</v>
      </c>
      <c r="AA29" s="78">
        <f t="shared" si="8"/>
        <v>0</v>
      </c>
      <c r="AB29" s="80">
        <v>0.16138160483669003</v>
      </c>
      <c r="AC29" s="81">
        <f t="shared" si="9"/>
        <v>150000</v>
      </c>
      <c r="AD29" s="78">
        <f t="shared" si="10"/>
        <v>516776.84295918379</v>
      </c>
      <c r="AE29" s="78">
        <f t="shared" si="22"/>
        <v>774382.35994387849</v>
      </c>
      <c r="AF29" s="78">
        <f t="shared" si="30"/>
        <v>0</v>
      </c>
      <c r="AG29" s="82">
        <v>5.2499999999999998E-2</v>
      </c>
      <c r="AH29" s="81">
        <f t="shared" si="12"/>
        <v>150000</v>
      </c>
      <c r="AI29" s="78">
        <f t="shared" si="13"/>
        <v>318630</v>
      </c>
      <c r="AJ29" s="81">
        <f t="shared" si="23"/>
        <v>493233.07500000001</v>
      </c>
      <c r="AK29" s="81">
        <f t="shared" si="14"/>
        <v>0</v>
      </c>
      <c r="AL29" s="80">
        <f t="shared" si="24"/>
        <v>0.58725808030307369</v>
      </c>
      <c r="AM29" s="80">
        <f t="shared" si="25"/>
        <v>0.41274191969692631</v>
      </c>
      <c r="AN29" s="80">
        <f t="shared" si="26"/>
        <v>0.61089691604943486</v>
      </c>
      <c r="AO29" s="83">
        <f t="shared" si="27"/>
        <v>0.38910308395056503</v>
      </c>
      <c r="AP29" s="3"/>
    </row>
    <row r="30" spans="1:49">
      <c r="A30" s="171">
        <v>1984</v>
      </c>
      <c r="B30" s="129">
        <v>0</v>
      </c>
      <c r="C30" s="152"/>
      <c r="D30" s="147"/>
      <c r="E30" s="9"/>
      <c r="H30" s="63">
        <f t="shared" si="28"/>
        <v>2005</v>
      </c>
      <c r="I30" s="63">
        <f t="shared" si="1"/>
        <v>4</v>
      </c>
      <c r="J30" s="65">
        <v>0.737303667743754</v>
      </c>
      <c r="K30" s="66">
        <f t="shared" si="2"/>
        <v>150000</v>
      </c>
      <c r="L30" s="63">
        <f t="shared" si="15"/>
        <v>774382.35994387849</v>
      </c>
      <c r="M30" s="63">
        <f t="shared" si="16"/>
        <v>1605932.8643281269</v>
      </c>
      <c r="N30" s="63">
        <f t="shared" si="3"/>
        <v>0</v>
      </c>
      <c r="O30" s="67">
        <v>0.06</v>
      </c>
      <c r="P30" s="66">
        <f t="shared" si="4"/>
        <v>150000</v>
      </c>
      <c r="Q30" s="63">
        <f t="shared" si="17"/>
        <v>493233.07500000001</v>
      </c>
      <c r="R30" s="66">
        <f t="shared" si="18"/>
        <v>681827.05949999997</v>
      </c>
      <c r="S30" s="66">
        <f t="shared" si="5"/>
        <v>0</v>
      </c>
      <c r="T30" s="65">
        <f t="shared" si="19"/>
        <v>0.58967418879552691</v>
      </c>
      <c r="U30" s="65">
        <f t="shared" si="20"/>
        <v>0.4103258112044732</v>
      </c>
      <c r="V30" s="65">
        <f t="shared" si="6"/>
        <v>0.70196739072205905</v>
      </c>
      <c r="W30" s="68">
        <f t="shared" si="7"/>
        <v>0.2980326092779409</v>
      </c>
      <c r="X30" s="3"/>
      <c r="Y30" s="78">
        <f t="shared" si="29"/>
        <v>2005</v>
      </c>
      <c r="Z30" s="78">
        <f t="shared" si="21"/>
        <v>4</v>
      </c>
      <c r="AA30" s="78">
        <f t="shared" si="8"/>
        <v>0</v>
      </c>
      <c r="AB30" s="80">
        <v>0.737303667743754</v>
      </c>
      <c r="AC30" s="81">
        <f t="shared" si="9"/>
        <v>150000</v>
      </c>
      <c r="AD30" s="78">
        <f t="shared" si="10"/>
        <v>774382.35994387849</v>
      </c>
      <c r="AE30" s="78">
        <f t="shared" si="22"/>
        <v>1605932.8643281269</v>
      </c>
      <c r="AF30" s="78">
        <f t="shared" si="30"/>
        <v>0</v>
      </c>
      <c r="AG30" s="82">
        <v>0.06</v>
      </c>
      <c r="AH30" s="81">
        <f t="shared" si="12"/>
        <v>150000</v>
      </c>
      <c r="AI30" s="78">
        <f t="shared" si="13"/>
        <v>493233.07500000001</v>
      </c>
      <c r="AJ30" s="81">
        <f t="shared" si="23"/>
        <v>681827.05949999997</v>
      </c>
      <c r="AK30" s="81">
        <f t="shared" si="14"/>
        <v>0</v>
      </c>
      <c r="AL30" s="80">
        <f t="shared" si="24"/>
        <v>0.58967418879552691</v>
      </c>
      <c r="AM30" s="80">
        <f t="shared" si="25"/>
        <v>0.4103258112044732</v>
      </c>
      <c r="AN30" s="80">
        <f t="shared" si="26"/>
        <v>0.70196739072205905</v>
      </c>
      <c r="AO30" s="83">
        <f t="shared" si="27"/>
        <v>0.2980326092779409</v>
      </c>
      <c r="AP30" s="3"/>
    </row>
    <row r="31" spans="1:49">
      <c r="A31" s="171">
        <v>1985</v>
      </c>
      <c r="B31" s="129">
        <v>0</v>
      </c>
      <c r="C31" s="152"/>
      <c r="D31" s="147"/>
      <c r="E31" s="9"/>
      <c r="H31" s="63">
        <f t="shared" si="28"/>
        <v>2006</v>
      </c>
      <c r="I31" s="63">
        <f t="shared" si="1"/>
        <v>5</v>
      </c>
      <c r="J31" s="65">
        <v>0.15887411347517733</v>
      </c>
      <c r="K31" s="66">
        <f t="shared" si="2"/>
        <v>150000</v>
      </c>
      <c r="L31" s="63">
        <f t="shared" si="15"/>
        <v>1605932.8643281269</v>
      </c>
      <c r="M31" s="63">
        <f t="shared" si="16"/>
        <v>2034905.1414701866</v>
      </c>
      <c r="N31" s="63">
        <f t="shared" si="3"/>
        <v>0</v>
      </c>
      <c r="O31" s="67">
        <v>6.25E-2</v>
      </c>
      <c r="P31" s="66">
        <f t="shared" si="4"/>
        <v>150000</v>
      </c>
      <c r="Q31" s="63">
        <f t="shared" si="17"/>
        <v>681827.05949999997</v>
      </c>
      <c r="R31" s="66">
        <f t="shared" si="18"/>
        <v>883816.25071874994</v>
      </c>
      <c r="S31" s="66">
        <f t="shared" si="5"/>
        <v>0</v>
      </c>
      <c r="T31" s="65">
        <f t="shared" si="19"/>
        <v>0.67855323369044951</v>
      </c>
      <c r="U31" s="65">
        <f t="shared" si="20"/>
        <v>0.32144676630955044</v>
      </c>
      <c r="V31" s="65">
        <f t="shared" si="6"/>
        <v>0.69719060781751452</v>
      </c>
      <c r="W31" s="68">
        <f t="shared" si="7"/>
        <v>0.30280939218248559</v>
      </c>
      <c r="X31" s="3"/>
      <c r="Y31" s="78">
        <f t="shared" si="29"/>
        <v>2006</v>
      </c>
      <c r="Z31" s="78">
        <f t="shared" si="21"/>
        <v>5</v>
      </c>
      <c r="AA31" s="78">
        <f t="shared" si="8"/>
        <v>0</v>
      </c>
      <c r="AB31" s="80">
        <v>0.15887411347517733</v>
      </c>
      <c r="AC31" s="81">
        <f t="shared" si="9"/>
        <v>150000</v>
      </c>
      <c r="AD31" s="78">
        <f t="shared" si="10"/>
        <v>1605932.8643281269</v>
      </c>
      <c r="AE31" s="78">
        <f t="shared" si="22"/>
        <v>2034905.1414701866</v>
      </c>
      <c r="AF31" s="78">
        <f t="shared" si="30"/>
        <v>0</v>
      </c>
      <c r="AG31" s="82">
        <v>6.25E-2</v>
      </c>
      <c r="AH31" s="81">
        <f t="shared" si="12"/>
        <v>150000</v>
      </c>
      <c r="AI31" s="78">
        <f t="shared" si="13"/>
        <v>681827.05949999997</v>
      </c>
      <c r="AJ31" s="81">
        <f t="shared" si="23"/>
        <v>883816.25071874994</v>
      </c>
      <c r="AK31" s="81">
        <f t="shared" si="14"/>
        <v>0</v>
      </c>
      <c r="AL31" s="80">
        <f t="shared" si="24"/>
        <v>0.67855323369044951</v>
      </c>
      <c r="AM31" s="80">
        <f t="shared" si="25"/>
        <v>0.32144676630955044</v>
      </c>
      <c r="AN31" s="80">
        <f t="shared" si="26"/>
        <v>0.69719060781751452</v>
      </c>
      <c r="AO31" s="83">
        <f t="shared" si="27"/>
        <v>0.30280939218248559</v>
      </c>
      <c r="AP31" s="3"/>
    </row>
    <row r="32" spans="1:49">
      <c r="A32" s="171">
        <v>1986</v>
      </c>
      <c r="B32" s="129">
        <v>0</v>
      </c>
      <c r="C32" s="152"/>
      <c r="D32" s="147"/>
      <c r="E32" s="9"/>
      <c r="H32" s="63">
        <f t="shared" si="28"/>
        <v>2007</v>
      </c>
      <c r="I32" s="63">
        <f t="shared" si="1"/>
        <v>6</v>
      </c>
      <c r="J32" s="65">
        <v>0.19677787042632777</v>
      </c>
      <c r="K32" s="66">
        <f t="shared" si="2"/>
        <v>150000</v>
      </c>
      <c r="L32" s="63">
        <f t="shared" si="15"/>
        <v>2034905.1414701866</v>
      </c>
      <c r="M32" s="63">
        <f t="shared" si="16"/>
        <v>2614846.1222922243</v>
      </c>
      <c r="N32" s="63">
        <f t="shared" si="3"/>
        <v>0</v>
      </c>
      <c r="O32" s="69">
        <v>7.0000000000000007E-2</v>
      </c>
      <c r="P32" s="66">
        <f t="shared" si="4"/>
        <v>150000</v>
      </c>
      <c r="Q32" s="63">
        <f t="shared" si="17"/>
        <v>883816.25071874994</v>
      </c>
      <c r="R32" s="66">
        <f t="shared" si="18"/>
        <v>1106183.3882690626</v>
      </c>
      <c r="S32" s="66">
        <f t="shared" si="5"/>
        <v>0</v>
      </c>
      <c r="T32" s="65">
        <f t="shared" si="19"/>
        <v>0.67881151402927453</v>
      </c>
      <c r="U32" s="65">
        <f t="shared" si="20"/>
        <v>0.32118848597072541</v>
      </c>
      <c r="V32" s="65">
        <f t="shared" si="6"/>
        <v>0.70272114608889413</v>
      </c>
      <c r="W32" s="68">
        <f t="shared" si="7"/>
        <v>0.29727885391110587</v>
      </c>
      <c r="X32" s="3"/>
      <c r="Y32" s="78">
        <f t="shared" si="29"/>
        <v>2007</v>
      </c>
      <c r="Z32" s="78">
        <f t="shared" si="21"/>
        <v>6</v>
      </c>
      <c r="AA32" s="78">
        <f t="shared" si="8"/>
        <v>0</v>
      </c>
      <c r="AB32" s="80">
        <v>0.19677787042632777</v>
      </c>
      <c r="AC32" s="81">
        <f t="shared" si="9"/>
        <v>150000</v>
      </c>
      <c r="AD32" s="78">
        <f t="shared" si="10"/>
        <v>2034905.1414701866</v>
      </c>
      <c r="AE32" s="78">
        <f t="shared" si="22"/>
        <v>2614846.1222922243</v>
      </c>
      <c r="AF32" s="78">
        <f t="shared" si="30"/>
        <v>0</v>
      </c>
      <c r="AG32" s="84">
        <v>7.0000000000000007E-2</v>
      </c>
      <c r="AH32" s="81">
        <f t="shared" si="12"/>
        <v>150000</v>
      </c>
      <c r="AI32" s="78">
        <f t="shared" si="13"/>
        <v>883816.25071874994</v>
      </c>
      <c r="AJ32" s="81">
        <f t="shared" si="23"/>
        <v>1106183.3882690626</v>
      </c>
      <c r="AK32" s="81">
        <f t="shared" si="14"/>
        <v>0</v>
      </c>
      <c r="AL32" s="80">
        <f t="shared" si="24"/>
        <v>0.67881151402927453</v>
      </c>
      <c r="AM32" s="80">
        <f t="shared" si="25"/>
        <v>0.32118848597072541</v>
      </c>
      <c r="AN32" s="80">
        <f t="shared" si="26"/>
        <v>0.70272114608889413</v>
      </c>
      <c r="AO32" s="83">
        <f t="shared" si="27"/>
        <v>0.29727885391110587</v>
      </c>
      <c r="AP32" s="3"/>
    </row>
    <row r="33" spans="1:42">
      <c r="A33" s="171">
        <v>1987</v>
      </c>
      <c r="B33" s="129">
        <v>0</v>
      </c>
      <c r="C33" s="152"/>
      <c r="D33" s="147"/>
      <c r="E33" s="9"/>
      <c r="H33" s="63">
        <f t="shared" si="28"/>
        <v>2008</v>
      </c>
      <c r="I33" s="63">
        <f t="shared" si="1"/>
        <v>7</v>
      </c>
      <c r="J33" s="65">
        <v>-0.37942650405256834</v>
      </c>
      <c r="K33" s="66">
        <f t="shared" si="2"/>
        <v>150000</v>
      </c>
      <c r="L33" s="63">
        <f t="shared" si="15"/>
        <v>2614846.1222922243</v>
      </c>
      <c r="M33" s="63">
        <f t="shared" si="16"/>
        <v>1715790.2238675856</v>
      </c>
      <c r="N33" s="63">
        <f t="shared" si="3"/>
        <v>0</v>
      </c>
      <c r="O33" s="69">
        <v>0.08</v>
      </c>
      <c r="P33" s="66">
        <f t="shared" si="4"/>
        <v>150000</v>
      </c>
      <c r="Q33" s="63">
        <f t="shared" si="17"/>
        <v>1106183.3882690626</v>
      </c>
      <c r="R33" s="66">
        <f t="shared" si="18"/>
        <v>1356678.0593305877</v>
      </c>
      <c r="S33" s="66">
        <f t="shared" si="5"/>
        <v>0</v>
      </c>
      <c r="T33" s="65">
        <f t="shared" si="19"/>
        <v>0.68759657571035471</v>
      </c>
      <c r="U33" s="65">
        <f t="shared" si="20"/>
        <v>0.31240342428964535</v>
      </c>
      <c r="V33" s="65">
        <f t="shared" si="6"/>
        <v>0.55844033712256802</v>
      </c>
      <c r="W33" s="68">
        <f t="shared" si="7"/>
        <v>0.44155966287743204</v>
      </c>
      <c r="X33" s="3"/>
      <c r="Y33" s="78">
        <f t="shared" si="29"/>
        <v>2008</v>
      </c>
      <c r="Z33" s="78">
        <f t="shared" si="21"/>
        <v>7</v>
      </c>
      <c r="AA33" s="78">
        <f t="shared" si="8"/>
        <v>0</v>
      </c>
      <c r="AB33" s="80">
        <v>-0.37942650405256834</v>
      </c>
      <c r="AC33" s="81">
        <f t="shared" si="9"/>
        <v>150000</v>
      </c>
      <c r="AD33" s="78">
        <f t="shared" si="10"/>
        <v>2614846.1222922243</v>
      </c>
      <c r="AE33" s="78">
        <f t="shared" si="22"/>
        <v>1715790.2238675856</v>
      </c>
      <c r="AF33" s="78">
        <f t="shared" si="30"/>
        <v>0</v>
      </c>
      <c r="AG33" s="84">
        <v>0.08</v>
      </c>
      <c r="AH33" s="81">
        <f t="shared" si="12"/>
        <v>150000</v>
      </c>
      <c r="AI33" s="78">
        <f t="shared" si="13"/>
        <v>1106183.3882690626</v>
      </c>
      <c r="AJ33" s="81">
        <f t="shared" si="23"/>
        <v>1356678.0593305877</v>
      </c>
      <c r="AK33" s="81">
        <f t="shared" si="14"/>
        <v>0</v>
      </c>
      <c r="AL33" s="80">
        <f t="shared" si="24"/>
        <v>0.68759657571035471</v>
      </c>
      <c r="AM33" s="80">
        <f t="shared" si="25"/>
        <v>0.31240342428964535</v>
      </c>
      <c r="AN33" s="80">
        <f t="shared" si="26"/>
        <v>0.55844033712256802</v>
      </c>
      <c r="AO33" s="83">
        <f t="shared" si="27"/>
        <v>0.44155966287743204</v>
      </c>
      <c r="AP33" s="3"/>
    </row>
    <row r="34" spans="1:42">
      <c r="A34" s="171">
        <v>1988</v>
      </c>
      <c r="B34" s="129">
        <v>0</v>
      </c>
      <c r="C34" s="152"/>
      <c r="D34" s="147"/>
      <c r="E34" s="9"/>
      <c r="H34" s="63">
        <f t="shared" si="28"/>
        <v>2009</v>
      </c>
      <c r="I34" s="63">
        <f t="shared" si="1"/>
        <v>8</v>
      </c>
      <c r="J34" s="65">
        <v>0.80532523046814641</v>
      </c>
      <c r="K34" s="66">
        <f t="shared" si="2"/>
        <v>150000</v>
      </c>
      <c r="L34" s="63">
        <f t="shared" si="15"/>
        <v>1715790.2238675856</v>
      </c>
      <c r="M34" s="63">
        <f t="shared" si="16"/>
        <v>3368358.1659089634</v>
      </c>
      <c r="N34" s="63">
        <f t="shared" si="3"/>
        <v>0</v>
      </c>
      <c r="O34" s="69">
        <v>0.09</v>
      </c>
      <c r="P34" s="66">
        <f t="shared" si="4"/>
        <v>150000</v>
      </c>
      <c r="Q34" s="63">
        <f t="shared" si="17"/>
        <v>1356678.0593305877</v>
      </c>
      <c r="R34" s="66">
        <f t="shared" si="18"/>
        <v>1642279.0846703406</v>
      </c>
      <c r="S34" s="66">
        <f t="shared" si="5"/>
        <v>0</v>
      </c>
      <c r="T34" s="65">
        <f t="shared" si="19"/>
        <v>0.55324174082319988</v>
      </c>
      <c r="U34" s="65">
        <f t="shared" si="20"/>
        <v>0.44675825917680018</v>
      </c>
      <c r="V34" s="65">
        <f t="shared" si="6"/>
        <v>0.67224147298221026</v>
      </c>
      <c r="W34" s="68">
        <f t="shared" si="7"/>
        <v>0.32775852701778974</v>
      </c>
      <c r="X34" s="3"/>
      <c r="Y34" s="78">
        <f t="shared" si="29"/>
        <v>2009</v>
      </c>
      <c r="Z34" s="78">
        <f t="shared" si="21"/>
        <v>8</v>
      </c>
      <c r="AA34" s="78">
        <f t="shared" si="8"/>
        <v>0</v>
      </c>
      <c r="AB34" s="80">
        <v>0.80532523046814641</v>
      </c>
      <c r="AC34" s="81">
        <f t="shared" si="9"/>
        <v>150000</v>
      </c>
      <c r="AD34" s="78">
        <f t="shared" si="10"/>
        <v>1715790.2238675856</v>
      </c>
      <c r="AE34" s="78">
        <f t="shared" si="22"/>
        <v>3368358.1659089634</v>
      </c>
      <c r="AF34" s="78">
        <f t="shared" si="30"/>
        <v>0</v>
      </c>
      <c r="AG34" s="84">
        <v>0.09</v>
      </c>
      <c r="AH34" s="81">
        <f t="shared" si="12"/>
        <v>150000</v>
      </c>
      <c r="AI34" s="78">
        <f t="shared" si="13"/>
        <v>1356678.0593305877</v>
      </c>
      <c r="AJ34" s="81">
        <f t="shared" si="23"/>
        <v>1642279.0846703406</v>
      </c>
      <c r="AK34" s="81">
        <f t="shared" si="14"/>
        <v>0</v>
      </c>
      <c r="AL34" s="80">
        <f t="shared" si="24"/>
        <v>0.55324174082319988</v>
      </c>
      <c r="AM34" s="80">
        <f t="shared" si="25"/>
        <v>0.44675825917680018</v>
      </c>
      <c r="AN34" s="80">
        <f t="shared" si="26"/>
        <v>0.67224147298221026</v>
      </c>
      <c r="AO34" s="83">
        <f t="shared" si="27"/>
        <v>0.32775852701778974</v>
      </c>
      <c r="AP34" s="3"/>
    </row>
    <row r="35" spans="1:42">
      <c r="A35" s="171">
        <v>1989</v>
      </c>
      <c r="B35" s="129">
        <v>0</v>
      </c>
      <c r="C35" s="152"/>
      <c r="D35" s="147"/>
      <c r="E35" s="9"/>
      <c r="H35" s="63">
        <f t="shared" si="28"/>
        <v>2010</v>
      </c>
      <c r="I35" s="63">
        <f t="shared" si="1"/>
        <v>9</v>
      </c>
      <c r="J35" s="65">
        <v>0.10943116334797741</v>
      </c>
      <c r="K35" s="66">
        <f t="shared" si="2"/>
        <v>150000</v>
      </c>
      <c r="L35" s="63">
        <f t="shared" si="15"/>
        <v>3368358.1659089634</v>
      </c>
      <c r="M35" s="63">
        <f t="shared" si="16"/>
        <v>3903376.1930792374</v>
      </c>
      <c r="N35" s="63">
        <f t="shared" si="3"/>
        <v>0</v>
      </c>
      <c r="O35" s="69">
        <v>0.1</v>
      </c>
      <c r="P35" s="66">
        <f t="shared" si="4"/>
        <v>150000</v>
      </c>
      <c r="Q35" s="63">
        <f t="shared" si="17"/>
        <v>1642279.0846703406</v>
      </c>
      <c r="R35" s="66">
        <f t="shared" si="18"/>
        <v>1971506.9931373748</v>
      </c>
      <c r="S35" s="66">
        <f t="shared" si="5"/>
        <v>0</v>
      </c>
      <c r="T35" s="65">
        <f t="shared" si="19"/>
        <v>0.6625114840079066</v>
      </c>
      <c r="U35" s="65">
        <f t="shared" si="20"/>
        <v>0.33748851599209345</v>
      </c>
      <c r="V35" s="65">
        <f t="shared" si="6"/>
        <v>0.66441766914398637</v>
      </c>
      <c r="W35" s="68">
        <f t="shared" si="7"/>
        <v>0.33558233085601363</v>
      </c>
      <c r="X35" s="3"/>
      <c r="Y35" s="78">
        <f t="shared" si="29"/>
        <v>2010</v>
      </c>
      <c r="Z35" s="78">
        <f t="shared" si="21"/>
        <v>9</v>
      </c>
      <c r="AA35" s="78">
        <f t="shared" si="8"/>
        <v>0</v>
      </c>
      <c r="AB35" s="80">
        <v>0.10943116334797741</v>
      </c>
      <c r="AC35" s="81">
        <f t="shared" si="9"/>
        <v>150000</v>
      </c>
      <c r="AD35" s="78">
        <f t="shared" si="10"/>
        <v>3368358.1659089634</v>
      </c>
      <c r="AE35" s="78">
        <f t="shared" si="22"/>
        <v>3903376.1930792374</v>
      </c>
      <c r="AF35" s="78">
        <f t="shared" si="30"/>
        <v>0</v>
      </c>
      <c r="AG35" s="84">
        <v>0.1</v>
      </c>
      <c r="AH35" s="81">
        <f t="shared" si="12"/>
        <v>150000</v>
      </c>
      <c r="AI35" s="78">
        <f t="shared" si="13"/>
        <v>1642279.0846703406</v>
      </c>
      <c r="AJ35" s="81">
        <f t="shared" si="23"/>
        <v>1971506.9931373748</v>
      </c>
      <c r="AK35" s="81">
        <f t="shared" si="14"/>
        <v>0</v>
      </c>
      <c r="AL35" s="80">
        <f t="shared" si="24"/>
        <v>0.6625114840079066</v>
      </c>
      <c r="AM35" s="80">
        <f t="shared" si="25"/>
        <v>0.33748851599209345</v>
      </c>
      <c r="AN35" s="80">
        <f t="shared" si="26"/>
        <v>0.66441766914398637</v>
      </c>
      <c r="AO35" s="83">
        <f t="shared" si="27"/>
        <v>0.33558233085601363</v>
      </c>
      <c r="AP35" s="3"/>
    </row>
    <row r="36" spans="1:42">
      <c r="A36" s="171">
        <v>1990</v>
      </c>
      <c r="B36" s="129">
        <v>0</v>
      </c>
      <c r="C36" s="152"/>
      <c r="D36" s="147"/>
      <c r="E36" s="9"/>
      <c r="H36" s="63">
        <f t="shared" si="28"/>
        <v>2011</v>
      </c>
      <c r="I36" s="63">
        <f t="shared" si="1"/>
        <v>10</v>
      </c>
      <c r="J36" s="65">
        <v>-0.10495242993057337</v>
      </c>
      <c r="K36" s="66">
        <f t="shared" si="2"/>
        <v>150000</v>
      </c>
      <c r="L36" s="63">
        <f t="shared" si="15"/>
        <v>3903376.1930792374</v>
      </c>
      <c r="M36" s="63">
        <f t="shared" si="16"/>
        <v>3627964.5121928342</v>
      </c>
      <c r="N36" s="63">
        <f t="shared" si="3"/>
        <v>3627964.5121928342</v>
      </c>
      <c r="O36" s="69">
        <v>0.11</v>
      </c>
      <c r="P36" s="66">
        <f t="shared" si="4"/>
        <v>150000</v>
      </c>
      <c r="Q36" s="63">
        <f t="shared" si="17"/>
        <v>1971506.9931373748</v>
      </c>
      <c r="R36" s="66">
        <f t="shared" si="18"/>
        <v>2354872.7623824859</v>
      </c>
      <c r="S36" s="66">
        <f t="shared" si="5"/>
        <v>2354872.7623824859</v>
      </c>
      <c r="T36" s="65">
        <f t="shared" si="19"/>
        <v>0.65642961507791142</v>
      </c>
      <c r="U36" s="65">
        <f t="shared" si="20"/>
        <v>0.34357038492208869</v>
      </c>
      <c r="V36" s="65">
        <f t="shared" si="6"/>
        <v>0.60639531808933544</v>
      </c>
      <c r="W36" s="68">
        <f t="shared" si="7"/>
        <v>0.3936046819106645</v>
      </c>
      <c r="X36" s="3"/>
      <c r="Y36" s="78">
        <f t="shared" si="29"/>
        <v>2011</v>
      </c>
      <c r="Z36" s="78">
        <f t="shared" si="21"/>
        <v>10</v>
      </c>
      <c r="AA36" s="78">
        <f t="shared" si="8"/>
        <v>0</v>
      </c>
      <c r="AB36" s="80">
        <v>-0.10495242993057337</v>
      </c>
      <c r="AC36" s="81">
        <f t="shared" si="9"/>
        <v>150000</v>
      </c>
      <c r="AD36" s="78">
        <f t="shared" si="10"/>
        <v>3903376.1930792374</v>
      </c>
      <c r="AE36" s="78">
        <f t="shared" si="22"/>
        <v>3627964.5121928342</v>
      </c>
      <c r="AF36" s="78">
        <f t="shared" si="30"/>
        <v>3627964.5121928342</v>
      </c>
      <c r="AG36" s="84">
        <v>0.11</v>
      </c>
      <c r="AH36" s="81">
        <f t="shared" si="12"/>
        <v>150000</v>
      </c>
      <c r="AI36" s="78">
        <f t="shared" si="13"/>
        <v>1971506.9931373748</v>
      </c>
      <c r="AJ36" s="81">
        <f t="shared" si="23"/>
        <v>2354872.7623824859</v>
      </c>
      <c r="AK36" s="81">
        <f t="shared" si="14"/>
        <v>2354872.7623824859</v>
      </c>
      <c r="AL36" s="80">
        <f t="shared" si="24"/>
        <v>0.65642961507791142</v>
      </c>
      <c r="AM36" s="80">
        <f t="shared" si="25"/>
        <v>0.34357038492208869</v>
      </c>
      <c r="AN36" s="80">
        <f t="shared" si="26"/>
        <v>0.60639531808933544</v>
      </c>
      <c r="AO36" s="83">
        <f t="shared" si="27"/>
        <v>0.3936046819106645</v>
      </c>
      <c r="AP36" s="3"/>
    </row>
    <row r="37" spans="1:42">
      <c r="A37" s="171">
        <v>1991</v>
      </c>
      <c r="B37" s="129">
        <v>0</v>
      </c>
      <c r="C37" s="152"/>
      <c r="D37" s="147"/>
      <c r="E37" s="9"/>
      <c r="H37" t="s">
        <v>16</v>
      </c>
      <c r="K37" s="3"/>
      <c r="P37" s="3"/>
      <c r="Q37" s="3"/>
      <c r="R37" s="3"/>
      <c r="S37" s="3"/>
      <c r="T37" s="3"/>
      <c r="U37" s="3"/>
      <c r="V37" s="3"/>
      <c r="W37" s="3"/>
      <c r="X37" s="3"/>
      <c r="Y37" s="25"/>
      <c r="Z37" s="25"/>
      <c r="AA37" s="25"/>
      <c r="AB37" s="26"/>
      <c r="AC37" s="25"/>
      <c r="AD37" s="25"/>
      <c r="AE37" s="27"/>
      <c r="AF37" s="25"/>
      <c r="AG37" s="26"/>
      <c r="AH37" s="25"/>
      <c r="AI37" s="25"/>
      <c r="AJ37" s="25"/>
      <c r="AK37" s="25"/>
      <c r="AL37" s="25"/>
      <c r="AM37" s="25"/>
      <c r="AN37" s="28"/>
      <c r="AO37" s="28"/>
      <c r="AP37" s="3"/>
    </row>
    <row r="38" spans="1:42">
      <c r="A38" s="171">
        <v>1992</v>
      </c>
      <c r="B38" s="129">
        <v>0</v>
      </c>
      <c r="C38" s="152"/>
      <c r="D38" s="147"/>
      <c r="E38" s="9"/>
      <c r="H38" t="s">
        <v>17</v>
      </c>
      <c r="J38" s="1"/>
      <c r="K38" s="1"/>
    </row>
    <row r="39" spans="1:42">
      <c r="A39" s="171">
        <v>1993</v>
      </c>
      <c r="B39" s="129">
        <v>0</v>
      </c>
      <c r="C39" s="152"/>
      <c r="D39" s="147"/>
      <c r="E39" s="9"/>
      <c r="J39" s="1"/>
      <c r="K39" s="1"/>
    </row>
    <row r="40" spans="1:42">
      <c r="A40" s="171">
        <v>1994</v>
      </c>
      <c r="B40" s="129">
        <v>0</v>
      </c>
      <c r="C40" s="152"/>
      <c r="D40" s="147"/>
      <c r="E40" s="9"/>
      <c r="J40" s="1"/>
      <c r="K40" s="1"/>
    </row>
    <row r="41" spans="1:42">
      <c r="A41" s="171">
        <v>1995</v>
      </c>
      <c r="B41" s="129">
        <v>0</v>
      </c>
      <c r="C41" s="152"/>
      <c r="D41" s="147"/>
      <c r="E41" s="9"/>
    </row>
    <row r="42" spans="1:42">
      <c r="A42" s="171">
        <v>1996</v>
      </c>
      <c r="B42" s="129">
        <v>0</v>
      </c>
      <c r="C42" s="152"/>
      <c r="D42" s="147"/>
      <c r="E42" s="9"/>
    </row>
    <row r="43" spans="1:42">
      <c r="A43" s="171">
        <v>1997</v>
      </c>
      <c r="B43" s="129">
        <v>0</v>
      </c>
      <c r="C43" s="152"/>
      <c r="D43" s="147"/>
      <c r="E43" s="9"/>
    </row>
    <row r="44" spans="1:42">
      <c r="A44" s="172">
        <v>1998</v>
      </c>
      <c r="B44" s="130">
        <v>0</v>
      </c>
      <c r="C44" s="152"/>
      <c r="D44" s="147"/>
      <c r="E44" s="173"/>
      <c r="F44" s="1"/>
    </row>
    <row r="45" spans="1:42">
      <c r="A45" s="172">
        <v>1999</v>
      </c>
      <c r="B45" s="130">
        <v>0</v>
      </c>
      <c r="C45" s="153"/>
      <c r="D45" s="121"/>
      <c r="E45" s="174"/>
      <c r="F45" s="26"/>
      <c r="G45" s="27"/>
      <c r="H45" s="27"/>
      <c r="I45" s="27"/>
      <c r="J45" s="27"/>
      <c r="K45" s="27"/>
      <c r="L45" s="27"/>
      <c r="M45" s="27"/>
      <c r="N45" s="27"/>
      <c r="O45" s="27"/>
    </row>
    <row r="46" spans="1:42">
      <c r="A46" s="172">
        <v>2000</v>
      </c>
      <c r="B46" s="130">
        <v>0</v>
      </c>
      <c r="C46" s="153"/>
      <c r="D46" s="121"/>
      <c r="E46" s="175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42">
      <c r="A47" s="172">
        <v>2001</v>
      </c>
      <c r="B47" s="130">
        <v>0</v>
      </c>
      <c r="C47" s="153"/>
      <c r="D47" s="121"/>
      <c r="E47" s="175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42">
      <c r="A48" s="172">
        <v>2002</v>
      </c>
      <c r="B48" s="130">
        <v>0</v>
      </c>
      <c r="C48" s="153"/>
      <c r="D48" s="121"/>
      <c r="E48" s="175"/>
      <c r="F48" s="27"/>
      <c r="G48" s="27"/>
      <c r="H48" s="40"/>
      <c r="I48" s="27"/>
      <c r="J48" s="27"/>
      <c r="K48" s="27"/>
      <c r="L48" s="61"/>
      <c r="M48" s="27"/>
      <c r="N48" s="27"/>
      <c r="O48" s="27"/>
    </row>
    <row r="49" spans="1:15">
      <c r="A49" s="176"/>
      <c r="B49" s="165"/>
      <c r="C49" s="27"/>
      <c r="D49" s="27"/>
      <c r="E49" s="177"/>
      <c r="F49" s="27"/>
      <c r="G49" s="27"/>
      <c r="H49" s="42"/>
      <c r="I49" s="27"/>
      <c r="J49" s="27"/>
      <c r="K49" s="27"/>
      <c r="L49" s="27"/>
      <c r="M49" s="27"/>
      <c r="N49" s="27"/>
      <c r="O49" s="27"/>
    </row>
    <row r="50" spans="1:15">
      <c r="A50" s="178"/>
      <c r="B50" s="165"/>
      <c r="C50" s="27"/>
      <c r="D50" s="27"/>
      <c r="E50" s="175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172"/>
      <c r="B51" s="165"/>
      <c r="C51" s="27"/>
      <c r="D51" s="27"/>
      <c r="E51" s="175"/>
      <c r="F51" s="27"/>
      <c r="G51" s="27"/>
      <c r="H51" s="27"/>
      <c r="I51" s="27"/>
      <c r="J51" s="26"/>
      <c r="K51" s="26"/>
      <c r="L51" s="27"/>
      <c r="M51" s="27"/>
      <c r="N51" s="27"/>
      <c r="O51" s="27"/>
    </row>
    <row r="52" spans="1:15">
      <c r="A52" s="172"/>
      <c r="B52" s="165"/>
      <c r="C52" s="27"/>
      <c r="D52" s="27"/>
      <c r="E52" s="175"/>
      <c r="J52" s="1"/>
      <c r="K52" s="1"/>
    </row>
    <row r="53" spans="1:15">
      <c r="A53" s="172"/>
      <c r="B53" s="165"/>
      <c r="C53" s="27"/>
      <c r="D53" s="27"/>
      <c r="E53" s="175"/>
      <c r="J53" s="1"/>
      <c r="K53" s="1"/>
    </row>
    <row r="54" spans="1:15">
      <c r="A54" s="172"/>
      <c r="B54" s="165"/>
      <c r="C54" s="27"/>
      <c r="D54" s="27"/>
      <c r="E54" s="175"/>
      <c r="J54" s="1"/>
      <c r="K54" s="1"/>
    </row>
    <row r="55" spans="1:15">
      <c r="A55" s="172"/>
      <c r="B55" s="165"/>
      <c r="C55" s="27"/>
      <c r="D55" s="27"/>
      <c r="E55" s="175"/>
    </row>
    <row r="56" spans="1:15">
      <c r="A56" s="172"/>
      <c r="B56" s="165"/>
      <c r="C56" s="27"/>
      <c r="D56" s="27"/>
      <c r="E56" s="175"/>
    </row>
    <row r="57" spans="1:15" ht="15" thickBot="1">
      <c r="A57" s="179"/>
      <c r="B57" s="180"/>
      <c r="C57" s="181"/>
      <c r="D57" s="181"/>
      <c r="E57" s="182"/>
    </row>
  </sheetData>
  <mergeCells count="12">
    <mergeCell ref="A19:C19"/>
    <mergeCell ref="A20:C20"/>
    <mergeCell ref="A21:C21"/>
    <mergeCell ref="A18:C18"/>
    <mergeCell ref="H1:U1"/>
    <mergeCell ref="Y1:AO1"/>
    <mergeCell ref="T2:W2"/>
    <mergeCell ref="AL2:AO2"/>
    <mergeCell ref="T4:U4"/>
    <mergeCell ref="V4:W4"/>
    <mergeCell ref="AL4:AM4"/>
    <mergeCell ref="AN4:AO4"/>
  </mergeCells>
  <conditionalFormatting sqref="Y5:AO36">
    <cfRule type="cellIs" dxfId="6" priority="2" operator="equal">
      <formula>0</formula>
    </cfRule>
  </conditionalFormatting>
  <conditionalFormatting sqref="K5:N36 P5:W36">
    <cfRule type="cellIs" dxfId="5" priority="1" operator="equal">
      <formula>0</formula>
    </cfRule>
  </conditionalFormatting>
  <dataValidations disablePrompts="1" count="1">
    <dataValidation type="list" allowBlank="1" showInputMessage="1" showErrorMessage="1" sqref="AX1">
      <formula1>$AW$1:$AW$17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X57"/>
  <sheetViews>
    <sheetView workbookViewId="0">
      <selection activeCell="D2" sqref="D2"/>
    </sheetView>
  </sheetViews>
  <sheetFormatPr defaultRowHeight="14.4"/>
  <cols>
    <col min="1" max="1" width="16" customWidth="1"/>
    <col min="2" max="2" width="16.88671875" bestFit="1" customWidth="1"/>
    <col min="3" max="3" width="11" bestFit="1" customWidth="1"/>
    <col min="4" max="4" width="12.109375" bestFit="1" customWidth="1"/>
    <col min="5" max="5" width="7.88671875" bestFit="1" customWidth="1"/>
    <col min="6" max="6" width="6.33203125" bestFit="1" customWidth="1"/>
    <col min="7" max="7" width="7.33203125" customWidth="1"/>
    <col min="8" max="8" width="7.88671875" customWidth="1"/>
    <col min="9" max="9" width="4.6640625" bestFit="1" customWidth="1"/>
    <col min="10" max="10" width="6.77734375" bestFit="1" customWidth="1"/>
    <col min="11" max="11" width="10.44140625" bestFit="1" customWidth="1"/>
    <col min="12" max="13" width="12" bestFit="1" customWidth="1"/>
    <col min="14" max="14" width="8.88671875" customWidth="1"/>
    <col min="16" max="16" width="10.44140625" bestFit="1" customWidth="1"/>
    <col min="17" max="17" width="11.33203125" bestFit="1" customWidth="1"/>
    <col min="18" max="18" width="10.109375" bestFit="1" customWidth="1"/>
    <col min="19" max="19" width="0" hidden="1" customWidth="1"/>
    <col min="29" max="29" width="10.109375" bestFit="1" customWidth="1"/>
    <col min="30" max="31" width="12" bestFit="1" customWidth="1"/>
    <col min="32" max="32" width="0" hidden="1" customWidth="1"/>
    <col min="34" max="34" width="10.44140625" bestFit="1" customWidth="1"/>
    <col min="35" max="35" width="12" bestFit="1" customWidth="1"/>
    <col min="36" max="36" width="10.109375" bestFit="1" customWidth="1"/>
    <col min="37" max="37" width="0" hidden="1" customWidth="1"/>
  </cols>
  <sheetData>
    <row r="1" spans="1:50" ht="15" thickBot="1">
      <c r="A1" s="2" t="s">
        <v>15</v>
      </c>
      <c r="H1" s="207" t="s">
        <v>32</v>
      </c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9"/>
      <c r="U1" s="209"/>
      <c r="V1" s="74"/>
      <c r="W1" s="74"/>
      <c r="Y1" s="207" t="s">
        <v>33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W1" s="95" t="s">
        <v>110</v>
      </c>
      <c r="AX1" s="99">
        <v>1</v>
      </c>
    </row>
    <row r="2" spans="1:50">
      <c r="A2" s="108" t="s">
        <v>18</v>
      </c>
      <c r="B2" s="108"/>
      <c r="C2" s="108"/>
      <c r="D2" s="101">
        <v>15</v>
      </c>
      <c r="E2" s="5"/>
      <c r="F2" s="6"/>
      <c r="H2" s="75" t="s">
        <v>14</v>
      </c>
      <c r="I2" s="75" t="s">
        <v>0</v>
      </c>
      <c r="J2" s="75" t="s">
        <v>8</v>
      </c>
      <c r="K2" s="75" t="s">
        <v>2</v>
      </c>
      <c r="L2" s="75" t="s">
        <v>96</v>
      </c>
      <c r="M2" s="75" t="s">
        <v>37</v>
      </c>
      <c r="N2" s="63"/>
      <c r="O2" s="75" t="s">
        <v>21</v>
      </c>
      <c r="P2" s="75" t="s">
        <v>2</v>
      </c>
      <c r="Q2" s="75" t="s">
        <v>96</v>
      </c>
      <c r="R2" s="75" t="s">
        <v>100</v>
      </c>
      <c r="S2" s="75"/>
      <c r="T2" s="206" t="s">
        <v>101</v>
      </c>
      <c r="U2" s="206"/>
      <c r="V2" s="206"/>
      <c r="W2" s="206"/>
      <c r="Y2" s="77" t="s">
        <v>14</v>
      </c>
      <c r="Z2" s="77" t="s">
        <v>0</v>
      </c>
      <c r="AA2" s="77"/>
      <c r="AB2" s="77" t="s">
        <v>8</v>
      </c>
      <c r="AC2" s="77" t="s">
        <v>2</v>
      </c>
      <c r="AD2" s="77" t="s">
        <v>96</v>
      </c>
      <c r="AE2" s="77" t="s">
        <v>37</v>
      </c>
      <c r="AF2" s="78"/>
      <c r="AG2" s="77" t="s">
        <v>21</v>
      </c>
      <c r="AH2" s="77" t="s">
        <v>2</v>
      </c>
      <c r="AI2" s="77" t="s">
        <v>96</v>
      </c>
      <c r="AJ2" s="77" t="s">
        <v>100</v>
      </c>
      <c r="AK2" s="77"/>
      <c r="AL2" s="200" t="s">
        <v>101</v>
      </c>
      <c r="AM2" s="200"/>
      <c r="AN2" s="200"/>
      <c r="AO2" s="200"/>
      <c r="AW2" s="95">
        <v>1</v>
      </c>
    </row>
    <row r="3" spans="1:50">
      <c r="A3" s="38" t="s">
        <v>10</v>
      </c>
      <c r="B3" s="38"/>
      <c r="C3" s="38"/>
      <c r="D3" s="102">
        <v>1980</v>
      </c>
      <c r="E3" s="109" t="s">
        <v>11</v>
      </c>
      <c r="F3" s="102">
        <f>2011-time1+1</f>
        <v>1997</v>
      </c>
      <c r="H3" s="75" t="s">
        <v>13</v>
      </c>
      <c r="I3" s="63"/>
      <c r="J3" s="75" t="s">
        <v>13</v>
      </c>
      <c r="K3" s="75" t="s">
        <v>3</v>
      </c>
      <c r="L3" s="75" t="s">
        <v>97</v>
      </c>
      <c r="M3" s="75" t="s">
        <v>99</v>
      </c>
      <c r="N3" s="63"/>
      <c r="O3" s="75" t="s">
        <v>13</v>
      </c>
      <c r="P3" s="75" t="s">
        <v>3</v>
      </c>
      <c r="Q3" s="75" t="s">
        <v>97</v>
      </c>
      <c r="R3" s="72" t="s">
        <v>99</v>
      </c>
      <c r="S3" s="63"/>
      <c r="T3" s="75" t="s">
        <v>23</v>
      </c>
      <c r="U3" s="75" t="s">
        <v>24</v>
      </c>
      <c r="V3" s="75" t="s">
        <v>23</v>
      </c>
      <c r="W3" s="75" t="s">
        <v>24</v>
      </c>
      <c r="X3" s="2"/>
      <c r="Y3" s="78"/>
      <c r="Z3" s="78"/>
      <c r="AA3" s="78"/>
      <c r="AB3" s="77" t="s">
        <v>9</v>
      </c>
      <c r="AC3" s="77" t="s">
        <v>36</v>
      </c>
      <c r="AD3" s="77" t="s">
        <v>97</v>
      </c>
      <c r="AE3" s="77" t="s">
        <v>99</v>
      </c>
      <c r="AF3" s="78"/>
      <c r="AG3" s="77" t="s">
        <v>13</v>
      </c>
      <c r="AH3" s="77" t="s">
        <v>3</v>
      </c>
      <c r="AI3" s="77" t="s">
        <v>97</v>
      </c>
      <c r="AJ3" s="77" t="s">
        <v>99</v>
      </c>
      <c r="AK3" s="78"/>
      <c r="AL3" s="77" t="s">
        <v>23</v>
      </c>
      <c r="AM3" s="77" t="s">
        <v>24</v>
      </c>
      <c r="AN3" s="77" t="s">
        <v>23</v>
      </c>
      <c r="AO3" s="77" t="s">
        <v>24</v>
      </c>
      <c r="AP3" s="2"/>
      <c r="AW3" s="95">
        <f t="shared" ref="AW3:AW17" si="0">IF(AW2&lt;time1/2,AW2+1,"")</f>
        <v>2</v>
      </c>
    </row>
    <row r="4" spans="1:50">
      <c r="A4" s="106" t="s">
        <v>12</v>
      </c>
      <c r="B4" s="106"/>
      <c r="C4" s="107">
        <v>1997</v>
      </c>
      <c r="D4" s="8"/>
      <c r="E4" s="8"/>
      <c r="F4" s="9"/>
      <c r="H4" s="64"/>
      <c r="I4" s="63"/>
      <c r="J4" s="75"/>
      <c r="K4" s="75"/>
      <c r="L4" s="75" t="s">
        <v>98</v>
      </c>
      <c r="M4" s="63"/>
      <c r="N4" s="63"/>
      <c r="O4" s="75"/>
      <c r="P4" s="75"/>
      <c r="Q4" s="75" t="s">
        <v>98</v>
      </c>
      <c r="R4" s="75"/>
      <c r="S4" s="75"/>
      <c r="T4" s="210" t="s">
        <v>102</v>
      </c>
      <c r="U4" s="211"/>
      <c r="V4" s="210" t="s">
        <v>103</v>
      </c>
      <c r="W4" s="211"/>
      <c r="X4" s="2"/>
      <c r="Y4" s="79" t="s">
        <v>13</v>
      </c>
      <c r="Z4" s="78"/>
      <c r="AA4" s="78"/>
      <c r="AB4" s="77"/>
      <c r="AC4" s="77"/>
      <c r="AD4" s="77" t="s">
        <v>98</v>
      </c>
      <c r="AE4" s="78"/>
      <c r="AF4" s="78"/>
      <c r="AG4" s="77"/>
      <c r="AH4" s="77"/>
      <c r="AI4" s="77" t="s">
        <v>98</v>
      </c>
      <c r="AJ4" s="77"/>
      <c r="AK4" s="77"/>
      <c r="AL4" s="200" t="s">
        <v>102</v>
      </c>
      <c r="AM4" s="200"/>
      <c r="AN4" s="200" t="s">
        <v>103</v>
      </c>
      <c r="AO4" s="200"/>
      <c r="AP4" s="2"/>
      <c r="AW4" s="95">
        <f t="shared" si="0"/>
        <v>3</v>
      </c>
    </row>
    <row r="5" spans="1:50">
      <c r="A5" s="38" t="s">
        <v>7</v>
      </c>
      <c r="B5" s="38"/>
      <c r="C5" s="38"/>
      <c r="D5" s="98">
        <v>25000</v>
      </c>
      <c r="E5" s="8"/>
      <c r="F5" s="9"/>
      <c r="H5" s="63">
        <v>1980</v>
      </c>
      <c r="I5" s="63">
        <f t="shared" ref="I5:I36" si="1">IF(H4=start-1+time1,0,IF(I4&lt;&gt;0,I4+1,IF(H5=start,1,0)))</f>
        <v>0</v>
      </c>
      <c r="J5" s="65">
        <v>0.34899276658629547</v>
      </c>
      <c r="K5" s="66">
        <f t="shared" ref="K5:K36" si="2">IF(I5=0,0,IF(O4=start-1+time1,0,IF(K4&lt;&gt;0,K4*(1+inca),IF(H5=start,12*cont1*eqper,0))))</f>
        <v>0</v>
      </c>
      <c r="L5" s="63">
        <f>IF(I5=1,0,IF(I5=0,0,M4))</f>
        <v>0</v>
      </c>
      <c r="M5" s="63">
        <f>IF(I5=0,0,IF(I5=1,K5*(1+J5),(L5+K5)*(1+J5)))</f>
        <v>0</v>
      </c>
      <c r="N5" s="63">
        <f t="shared" ref="N5:N36" si="3">IF(I5=time1,M5,0)</f>
        <v>0</v>
      </c>
      <c r="O5" s="67">
        <v>7.4999999999999997E-2</v>
      </c>
      <c r="P5" s="66">
        <f t="shared" ref="P5:P36" si="4">IF(I5=0,0,IF(O4=start-1+time1,0,IF(P4&lt;&gt;0,P4*(1+inca),IF(H5=start,12*cont1*bondper,0))))</f>
        <v>0</v>
      </c>
      <c r="Q5" s="63">
        <f>IF(I5=1,0,IF(I5=0,0,R4))</f>
        <v>0</v>
      </c>
      <c r="R5" s="66">
        <f>IF(I5=0,0,IF(I5=1,P5*(1+O5),(Q5+P5)*(1+O5)))</f>
        <v>0</v>
      </c>
      <c r="S5" s="66">
        <f t="shared" ref="S5:S36" si="5">IF(I5=time1,R5,0)</f>
        <v>0</v>
      </c>
      <c r="T5" s="65">
        <f>IF(I5=0,0,(K5+L5)/(K5+L5+P5+Q5))</f>
        <v>0</v>
      </c>
      <c r="U5" s="65">
        <f>IF(I5=0,0,(P5+Q5)/(K5+L5+P5+Q5))</f>
        <v>0</v>
      </c>
      <c r="V5" s="65">
        <f t="shared" ref="V5:V36" si="6">IF(I5=0,0,M5/(M5+R5))</f>
        <v>0</v>
      </c>
      <c r="W5" s="68">
        <f t="shared" ref="W5:W36" si="7">IF(I5=0,0,R5/(M5+R5))</f>
        <v>0</v>
      </c>
      <c r="X5" s="3"/>
      <c r="Y5" s="78">
        <v>1980</v>
      </c>
      <c r="Z5" s="78">
        <f>IF(AG4=start-1+time1,0,IF(Z4&lt;&gt;0,Z4+1,IF(Y5=start,1,0)))</f>
        <v>0</v>
      </c>
      <c r="AA5" s="78" t="str">
        <f t="shared" ref="AA5:AA36" si="8">IF(Z5=0,"",IF(Z5=1,1,IF(ABS(AN4-eqper)&gt;thres,0,1)))</f>
        <v/>
      </c>
      <c r="AB5" s="80">
        <v>0.34899276658629547</v>
      </c>
      <c r="AC5" s="81">
        <f t="shared" ref="AC5:AC36" si="9">IF(Z5=0,0,IF(AG4=start-1+time1,0,IF(AC4&lt;&gt;0,AC4*(1+inca),IF(Y5=start,12*cont1*eqper,0))))</f>
        <v>0</v>
      </c>
      <c r="AD5" s="78">
        <f t="shared" ref="AD5:AD36" si="10">IF(Z5=1,0,IF(Z5=0,0,IF(AA5=0,eqper*(AE4+AJ4),AE4)))</f>
        <v>0</v>
      </c>
      <c r="AE5" s="78">
        <f>IF(Z5=0,0,(AC5+AD5)*(1+AB5))</f>
        <v>0</v>
      </c>
      <c r="AF5" s="78">
        <f t="shared" ref="AF5:AF8" si="11">IF(Z5=time1,AE5,0)</f>
        <v>0</v>
      </c>
      <c r="AG5" s="82">
        <v>7.4999999999999997E-2</v>
      </c>
      <c r="AH5" s="81">
        <f t="shared" ref="AH5:AH36" si="12">IF(Z5=0,0,IF(AG4=start-1+time1,0,IF(AH4&lt;&gt;0,AH4*(1+inca),IF(Y5=start,12*cont1*bondper,0))))</f>
        <v>0</v>
      </c>
      <c r="AI5" s="78">
        <f t="shared" ref="AI5:AI36" si="13">IF(Z5=1,0,IF(Z5=0,0,IF(AA5=0,bondper*(AE4+AJ4),AJ4)))</f>
        <v>0</v>
      </c>
      <c r="AJ5" s="81">
        <f>IF(Z5=0,0,(AH5+AI5)*(1+AG5))</f>
        <v>0</v>
      </c>
      <c r="AK5" s="81">
        <f t="shared" ref="AK5:AK36" si="14">IF(Z5=time1,AJ5,0)</f>
        <v>0</v>
      </c>
      <c r="AL5" s="80">
        <f>IF(Z5=0,0,(AC5+AD5)/(AC5+AD5+AH5+AI5))</f>
        <v>0</v>
      </c>
      <c r="AM5" s="80">
        <f>IF(Z5=0,0,(AH5+AI5)/(AC5+AD5+AH5+AI5))</f>
        <v>0</v>
      </c>
      <c r="AN5" s="80">
        <f>IF(Z5=0,0,AE5/(AE5+AJ5))</f>
        <v>0</v>
      </c>
      <c r="AO5" s="83">
        <f>IF(Z5=0,0,AJ5/(AE5+AJ5))</f>
        <v>0</v>
      </c>
      <c r="AP5" s="3"/>
      <c r="AQ5" s="33"/>
      <c r="AW5" s="95">
        <f t="shared" si="0"/>
        <v>4</v>
      </c>
    </row>
    <row r="6" spans="1:50">
      <c r="A6" s="38" t="s">
        <v>6</v>
      </c>
      <c r="B6" s="38" t="s">
        <v>5</v>
      </c>
      <c r="C6" s="38"/>
      <c r="D6" s="104">
        <v>0.05</v>
      </c>
      <c r="E6" s="8"/>
      <c r="F6" s="9"/>
      <c r="H6" s="63">
        <f>H5+1</f>
        <v>1981</v>
      </c>
      <c r="I6" s="63">
        <f t="shared" si="1"/>
        <v>0</v>
      </c>
      <c r="J6" s="65">
        <v>0.25524677121771222</v>
      </c>
      <c r="K6" s="66">
        <f t="shared" si="2"/>
        <v>0</v>
      </c>
      <c r="L6" s="63">
        <f t="shared" ref="L6:L36" si="15">IF(I6=1,0,IF(I6=0,0,M5))</f>
        <v>0</v>
      </c>
      <c r="M6" s="63">
        <f t="shared" ref="M6:M36" si="16">IF(I6=0,0,IF(I6=1,K6*(1+J6),(L6+K6)*(1+J6)))</f>
        <v>0</v>
      </c>
      <c r="N6" s="63">
        <f t="shared" si="3"/>
        <v>0</v>
      </c>
      <c r="O6" s="67">
        <v>0.08</v>
      </c>
      <c r="P6" s="66">
        <f t="shared" si="4"/>
        <v>0</v>
      </c>
      <c r="Q6" s="63">
        <f t="shared" ref="Q6:Q36" si="17">IF(I6=1,0,IF(I6=0,0,R5))</f>
        <v>0</v>
      </c>
      <c r="R6" s="66">
        <f t="shared" ref="R6:R36" si="18">IF(I6=0,0,IF(I6=1,P6*(1+O6),(Q6+P6)*(1+O6)))</f>
        <v>0</v>
      </c>
      <c r="S6" s="66">
        <f t="shared" si="5"/>
        <v>0</v>
      </c>
      <c r="T6" s="65">
        <f t="shared" ref="T6:T36" si="19">IF(I6=0,0,(K6+L6)/(K6+L6+P6+Q6))</f>
        <v>0</v>
      </c>
      <c r="U6" s="65">
        <f t="shared" ref="U6:U36" si="20">IF(I6=0,0,(P6+Q6)/(K6+L6+P6+Q6))</f>
        <v>0</v>
      </c>
      <c r="V6" s="65">
        <f t="shared" si="6"/>
        <v>0</v>
      </c>
      <c r="W6" s="68">
        <f t="shared" si="7"/>
        <v>0</v>
      </c>
      <c r="X6" s="3"/>
      <c r="Y6" s="78">
        <f>Y5+1</f>
        <v>1981</v>
      </c>
      <c r="Z6" s="78">
        <f t="shared" ref="Z6:Z36" si="21">IF(Y5=start-1+time1,0,IF(Z5&lt;&gt;0,Z5+1,IF(Y6=start,1,0)))</f>
        <v>0</v>
      </c>
      <c r="AA6" s="78" t="str">
        <f t="shared" si="8"/>
        <v/>
      </c>
      <c r="AB6" s="80">
        <v>0.25524677121771222</v>
      </c>
      <c r="AC6" s="81">
        <f t="shared" si="9"/>
        <v>0</v>
      </c>
      <c r="AD6" s="78">
        <f t="shared" si="10"/>
        <v>0</v>
      </c>
      <c r="AE6" s="78">
        <f t="shared" ref="AE6:AE36" si="22">IF(Z6=0,0,(AC6+AD6)*(1+AB6))</f>
        <v>0</v>
      </c>
      <c r="AF6" s="78">
        <f t="shared" si="11"/>
        <v>0</v>
      </c>
      <c r="AG6" s="82">
        <v>0.08</v>
      </c>
      <c r="AH6" s="81">
        <f t="shared" si="12"/>
        <v>0</v>
      </c>
      <c r="AI6" s="78">
        <f t="shared" si="13"/>
        <v>0</v>
      </c>
      <c r="AJ6" s="81">
        <f t="shared" ref="AJ6:AJ36" si="23">IF(Z6=0,0,(AH6+AI6)*(1+AG6))</f>
        <v>0</v>
      </c>
      <c r="AK6" s="81">
        <f t="shared" si="14"/>
        <v>0</v>
      </c>
      <c r="AL6" s="80">
        <f t="shared" ref="AL6:AL36" si="24">IF(Z6=0,0,(AC6+AD6)/(AC6+AD6+AH6+AI6))</f>
        <v>0</v>
      </c>
      <c r="AM6" s="80">
        <f t="shared" ref="AM6:AM36" si="25">IF(Z6=0,0,(AH6+AI6)/(AC6+AD6+AH6+AI6))</f>
        <v>0</v>
      </c>
      <c r="AN6" s="80">
        <f t="shared" ref="AN6:AN36" si="26">IF(Z6=0,0,AE6/(AE6+AJ6))</f>
        <v>0</v>
      </c>
      <c r="AO6" s="83">
        <f t="shared" ref="AO6:AO36" si="27">IF(Z6=0,0,AJ6/(AE6+AJ6))</f>
        <v>0</v>
      </c>
      <c r="AP6" s="3"/>
      <c r="AW6" s="95">
        <f t="shared" si="0"/>
        <v>5</v>
      </c>
    </row>
    <row r="7" spans="1:50">
      <c r="E7" s="8"/>
      <c r="F7" s="9"/>
      <c r="H7" s="63">
        <f t="shared" ref="H7:H36" si="28">H6+1</f>
        <v>1982</v>
      </c>
      <c r="I7" s="63">
        <f t="shared" si="1"/>
        <v>0</v>
      </c>
      <c r="J7" s="65">
        <v>-2.8478250884203839E-2</v>
      </c>
      <c r="K7" s="66">
        <f t="shared" si="2"/>
        <v>0</v>
      </c>
      <c r="L7" s="63">
        <f t="shared" si="15"/>
        <v>0</v>
      </c>
      <c r="M7" s="63">
        <f t="shared" si="16"/>
        <v>0</v>
      </c>
      <c r="N7" s="63">
        <f t="shared" si="3"/>
        <v>0</v>
      </c>
      <c r="O7" s="67">
        <v>0.08</v>
      </c>
      <c r="P7" s="66">
        <f t="shared" si="4"/>
        <v>0</v>
      </c>
      <c r="Q7" s="63">
        <f t="shared" si="17"/>
        <v>0</v>
      </c>
      <c r="R7" s="66">
        <f t="shared" si="18"/>
        <v>0</v>
      </c>
      <c r="S7" s="66">
        <f t="shared" si="5"/>
        <v>0</v>
      </c>
      <c r="T7" s="65">
        <f t="shared" si="19"/>
        <v>0</v>
      </c>
      <c r="U7" s="65">
        <f t="shared" si="20"/>
        <v>0</v>
      </c>
      <c r="V7" s="65">
        <f t="shared" si="6"/>
        <v>0</v>
      </c>
      <c r="W7" s="68">
        <f t="shared" si="7"/>
        <v>0</v>
      </c>
      <c r="X7" s="3"/>
      <c r="Y7" s="78">
        <f t="shared" ref="Y7:Y36" si="29">Y6+1</f>
        <v>1982</v>
      </c>
      <c r="Z7" s="78">
        <f t="shared" si="21"/>
        <v>0</v>
      </c>
      <c r="AA7" s="78" t="str">
        <f t="shared" si="8"/>
        <v/>
      </c>
      <c r="AB7" s="80">
        <v>-2.8478250884203839E-2</v>
      </c>
      <c r="AC7" s="81">
        <f t="shared" si="9"/>
        <v>0</v>
      </c>
      <c r="AD7" s="78">
        <f t="shared" si="10"/>
        <v>0</v>
      </c>
      <c r="AE7" s="78">
        <f t="shared" si="22"/>
        <v>0</v>
      </c>
      <c r="AF7" s="78">
        <f t="shared" si="11"/>
        <v>0</v>
      </c>
      <c r="AG7" s="82">
        <v>0.08</v>
      </c>
      <c r="AH7" s="81">
        <f t="shared" si="12"/>
        <v>0</v>
      </c>
      <c r="AI7" s="78">
        <f t="shared" si="13"/>
        <v>0</v>
      </c>
      <c r="AJ7" s="81">
        <f t="shared" si="23"/>
        <v>0</v>
      </c>
      <c r="AK7" s="81">
        <f t="shared" si="14"/>
        <v>0</v>
      </c>
      <c r="AL7" s="80">
        <f t="shared" si="24"/>
        <v>0</v>
      </c>
      <c r="AM7" s="80">
        <f t="shared" si="25"/>
        <v>0</v>
      </c>
      <c r="AN7" s="80">
        <f t="shared" si="26"/>
        <v>0</v>
      </c>
      <c r="AO7" s="83">
        <f t="shared" si="27"/>
        <v>0</v>
      </c>
      <c r="AP7" s="3"/>
      <c r="AW7" s="95">
        <f t="shared" si="0"/>
        <v>6</v>
      </c>
    </row>
    <row r="8" spans="1:50">
      <c r="A8" s="38" t="s">
        <v>19</v>
      </c>
      <c r="B8" s="104">
        <v>0.5</v>
      </c>
      <c r="C8" s="100" t="s">
        <v>20</v>
      </c>
      <c r="D8" s="105">
        <f>100%-eqper</f>
        <v>0.5</v>
      </c>
      <c r="E8" s="8"/>
      <c r="F8" s="9"/>
      <c r="H8" s="63">
        <f t="shared" si="28"/>
        <v>1983</v>
      </c>
      <c r="I8" s="63">
        <f t="shared" si="1"/>
        <v>0</v>
      </c>
      <c r="J8" s="65">
        <v>0.15989787716892828</v>
      </c>
      <c r="K8" s="66">
        <f t="shared" si="2"/>
        <v>0</v>
      </c>
      <c r="L8" s="63">
        <f t="shared" si="15"/>
        <v>0</v>
      </c>
      <c r="M8" s="63">
        <f t="shared" si="16"/>
        <v>0</v>
      </c>
      <c r="N8" s="63">
        <f t="shared" si="3"/>
        <v>0</v>
      </c>
      <c r="O8" s="67">
        <v>0.08</v>
      </c>
      <c r="P8" s="66">
        <f t="shared" si="4"/>
        <v>0</v>
      </c>
      <c r="Q8" s="63">
        <f t="shared" si="17"/>
        <v>0</v>
      </c>
      <c r="R8" s="66">
        <f t="shared" si="18"/>
        <v>0</v>
      </c>
      <c r="S8" s="66">
        <f t="shared" si="5"/>
        <v>0</v>
      </c>
      <c r="T8" s="65">
        <f t="shared" si="19"/>
        <v>0</v>
      </c>
      <c r="U8" s="65">
        <f t="shared" si="20"/>
        <v>0</v>
      </c>
      <c r="V8" s="65">
        <f t="shared" si="6"/>
        <v>0</v>
      </c>
      <c r="W8" s="68">
        <f t="shared" si="7"/>
        <v>0</v>
      </c>
      <c r="X8" s="3"/>
      <c r="Y8" s="78">
        <f t="shared" si="29"/>
        <v>1983</v>
      </c>
      <c r="Z8" s="78">
        <f t="shared" si="21"/>
        <v>0</v>
      </c>
      <c r="AA8" s="78" t="str">
        <f t="shared" si="8"/>
        <v/>
      </c>
      <c r="AB8" s="80">
        <v>0.15989787716892828</v>
      </c>
      <c r="AC8" s="81">
        <f t="shared" si="9"/>
        <v>0</v>
      </c>
      <c r="AD8" s="78">
        <f t="shared" si="10"/>
        <v>0</v>
      </c>
      <c r="AE8" s="78">
        <f t="shared" si="22"/>
        <v>0</v>
      </c>
      <c r="AF8" s="78">
        <f t="shared" si="11"/>
        <v>0</v>
      </c>
      <c r="AG8" s="82">
        <v>0.08</v>
      </c>
      <c r="AH8" s="81">
        <f t="shared" si="12"/>
        <v>0</v>
      </c>
      <c r="AI8" s="78">
        <f t="shared" si="13"/>
        <v>0</v>
      </c>
      <c r="AJ8" s="81">
        <f t="shared" si="23"/>
        <v>0</v>
      </c>
      <c r="AK8" s="81">
        <f t="shared" si="14"/>
        <v>0</v>
      </c>
      <c r="AL8" s="80">
        <f t="shared" si="24"/>
        <v>0</v>
      </c>
      <c r="AM8" s="80">
        <f t="shared" si="25"/>
        <v>0</v>
      </c>
      <c r="AN8" s="80">
        <f t="shared" si="26"/>
        <v>0</v>
      </c>
      <c r="AO8" s="83">
        <f t="shared" si="27"/>
        <v>0</v>
      </c>
      <c r="AP8" s="3"/>
      <c r="AW8" s="95">
        <f t="shared" si="0"/>
        <v>7</v>
      </c>
    </row>
    <row r="9" spans="1:50">
      <c r="A9" s="27" t="s">
        <v>22</v>
      </c>
      <c r="E9" s="8"/>
      <c r="F9" s="9"/>
      <c r="H9" s="63">
        <f t="shared" si="28"/>
        <v>1984</v>
      </c>
      <c r="I9" s="63">
        <f t="shared" si="1"/>
        <v>0</v>
      </c>
      <c r="J9" s="65">
        <v>0.44238372803978315</v>
      </c>
      <c r="K9" s="66">
        <f t="shared" si="2"/>
        <v>0</v>
      </c>
      <c r="L9" s="63">
        <f t="shared" si="15"/>
        <v>0</v>
      </c>
      <c r="M9" s="63">
        <f t="shared" si="16"/>
        <v>0</v>
      </c>
      <c r="N9" s="63">
        <f>IF(I9=time1,M9,0)</f>
        <v>0</v>
      </c>
      <c r="O9" s="67">
        <v>0.08</v>
      </c>
      <c r="P9" s="66">
        <f t="shared" si="4"/>
        <v>0</v>
      </c>
      <c r="Q9" s="63">
        <f t="shared" si="17"/>
        <v>0</v>
      </c>
      <c r="R9" s="66">
        <f t="shared" si="18"/>
        <v>0</v>
      </c>
      <c r="S9" s="66">
        <f t="shared" si="5"/>
        <v>0</v>
      </c>
      <c r="T9" s="65">
        <f t="shared" si="19"/>
        <v>0</v>
      </c>
      <c r="U9" s="65">
        <f t="shared" si="20"/>
        <v>0</v>
      </c>
      <c r="V9" s="65">
        <f t="shared" si="6"/>
        <v>0</v>
      </c>
      <c r="W9" s="68">
        <f t="shared" si="7"/>
        <v>0</v>
      </c>
      <c r="X9" s="3"/>
      <c r="Y9" s="78">
        <f t="shared" si="29"/>
        <v>1984</v>
      </c>
      <c r="Z9" s="78">
        <f t="shared" si="21"/>
        <v>0</v>
      </c>
      <c r="AA9" s="78" t="str">
        <f t="shared" si="8"/>
        <v/>
      </c>
      <c r="AB9" s="80">
        <v>0.44238372803978315</v>
      </c>
      <c r="AC9" s="81">
        <f t="shared" si="9"/>
        <v>0</v>
      </c>
      <c r="AD9" s="78">
        <f t="shared" si="10"/>
        <v>0</v>
      </c>
      <c r="AE9" s="78">
        <f t="shared" si="22"/>
        <v>0</v>
      </c>
      <c r="AF9" s="78">
        <f>IF(Z9=time1,AE9,0)</f>
        <v>0</v>
      </c>
      <c r="AG9" s="82">
        <v>0.08</v>
      </c>
      <c r="AH9" s="81">
        <f t="shared" si="12"/>
        <v>0</v>
      </c>
      <c r="AI9" s="78">
        <f t="shared" si="13"/>
        <v>0</v>
      </c>
      <c r="AJ9" s="81">
        <f t="shared" si="23"/>
        <v>0</v>
      </c>
      <c r="AK9" s="81">
        <f t="shared" si="14"/>
        <v>0</v>
      </c>
      <c r="AL9" s="80">
        <f t="shared" si="24"/>
        <v>0</v>
      </c>
      <c r="AM9" s="80">
        <f t="shared" si="25"/>
        <v>0</v>
      </c>
      <c r="AN9" s="80">
        <f t="shared" si="26"/>
        <v>0</v>
      </c>
      <c r="AO9" s="83">
        <f t="shared" si="27"/>
        <v>0</v>
      </c>
      <c r="AP9" s="3"/>
      <c r="AW9" s="95">
        <f t="shared" si="0"/>
        <v>8</v>
      </c>
    </row>
    <row r="10" spans="1:50">
      <c r="A10" s="212" t="s">
        <v>113</v>
      </c>
      <c r="B10" s="212"/>
      <c r="C10" s="104">
        <v>0.05</v>
      </c>
      <c r="D10" s="213" t="s">
        <v>115</v>
      </c>
      <c r="E10" s="213"/>
      <c r="F10" s="9"/>
      <c r="H10" s="63">
        <f t="shared" si="28"/>
        <v>1985</v>
      </c>
      <c r="I10" s="63">
        <f t="shared" si="1"/>
        <v>0</v>
      </c>
      <c r="J10" s="65">
        <v>0.62242129655796075</v>
      </c>
      <c r="K10" s="66">
        <f t="shared" si="2"/>
        <v>0</v>
      </c>
      <c r="L10" s="63">
        <f t="shared" si="15"/>
        <v>0</v>
      </c>
      <c r="M10" s="63">
        <f t="shared" si="16"/>
        <v>0</v>
      </c>
      <c r="N10" s="63">
        <f>IF(I10=time1,M10,0)</f>
        <v>0</v>
      </c>
      <c r="O10" s="67">
        <v>8.5000000000000006E-2</v>
      </c>
      <c r="P10" s="66">
        <f t="shared" si="4"/>
        <v>0</v>
      </c>
      <c r="Q10" s="63">
        <f t="shared" si="17"/>
        <v>0</v>
      </c>
      <c r="R10" s="66">
        <f t="shared" si="18"/>
        <v>0</v>
      </c>
      <c r="S10" s="66">
        <f t="shared" si="5"/>
        <v>0</v>
      </c>
      <c r="T10" s="65">
        <f t="shared" si="19"/>
        <v>0</v>
      </c>
      <c r="U10" s="65">
        <f t="shared" si="20"/>
        <v>0</v>
      </c>
      <c r="V10" s="65">
        <f t="shared" si="6"/>
        <v>0</v>
      </c>
      <c r="W10" s="68">
        <f t="shared" si="7"/>
        <v>0</v>
      </c>
      <c r="X10" s="3"/>
      <c r="Y10" s="78">
        <f t="shared" si="29"/>
        <v>1985</v>
      </c>
      <c r="Z10" s="78">
        <f t="shared" si="21"/>
        <v>0</v>
      </c>
      <c r="AA10" s="78" t="str">
        <f t="shared" si="8"/>
        <v/>
      </c>
      <c r="AB10" s="80">
        <v>0.62242129655796075</v>
      </c>
      <c r="AC10" s="81">
        <f t="shared" si="9"/>
        <v>0</v>
      </c>
      <c r="AD10" s="78">
        <f t="shared" si="10"/>
        <v>0</v>
      </c>
      <c r="AE10" s="78">
        <f t="shared" si="22"/>
        <v>0</v>
      </c>
      <c r="AF10" s="78">
        <f>IF(Z10=time1,AE10,0)</f>
        <v>0</v>
      </c>
      <c r="AG10" s="82">
        <v>8.5000000000000006E-2</v>
      </c>
      <c r="AH10" s="81">
        <f t="shared" si="12"/>
        <v>0</v>
      </c>
      <c r="AI10" s="78">
        <f t="shared" si="13"/>
        <v>0</v>
      </c>
      <c r="AJ10" s="81">
        <f t="shared" si="23"/>
        <v>0</v>
      </c>
      <c r="AK10" s="81">
        <f t="shared" si="14"/>
        <v>0</v>
      </c>
      <c r="AL10" s="80">
        <f t="shared" si="24"/>
        <v>0</v>
      </c>
      <c r="AM10" s="80">
        <f t="shared" si="25"/>
        <v>0</v>
      </c>
      <c r="AN10" s="80">
        <f t="shared" si="26"/>
        <v>0</v>
      </c>
      <c r="AO10" s="83">
        <f t="shared" si="27"/>
        <v>0</v>
      </c>
      <c r="AP10" s="3"/>
      <c r="AW10" s="95" t="str">
        <f t="shared" si="0"/>
        <v/>
      </c>
    </row>
    <row r="11" spans="1:50" ht="15" thickBot="1">
      <c r="A11" s="13" t="s">
        <v>114</v>
      </c>
      <c r="B11" s="10"/>
      <c r="C11" s="10"/>
      <c r="D11" s="10"/>
      <c r="E11" s="10"/>
      <c r="F11" s="11"/>
      <c r="H11" s="63">
        <f t="shared" si="28"/>
        <v>1986</v>
      </c>
      <c r="I11" s="63">
        <f t="shared" si="1"/>
        <v>0</v>
      </c>
      <c r="J11" s="65">
        <v>-0.11104143805194128</v>
      </c>
      <c r="K11" s="66">
        <f t="shared" si="2"/>
        <v>0</v>
      </c>
      <c r="L11" s="63">
        <f t="shared" si="15"/>
        <v>0</v>
      </c>
      <c r="M11" s="63">
        <f t="shared" si="16"/>
        <v>0</v>
      </c>
      <c r="N11" s="63">
        <f t="shared" si="3"/>
        <v>0</v>
      </c>
      <c r="O11" s="67">
        <v>8.5000000000000006E-2</v>
      </c>
      <c r="P11" s="66">
        <f t="shared" si="4"/>
        <v>0</v>
      </c>
      <c r="Q11" s="63">
        <f t="shared" si="17"/>
        <v>0</v>
      </c>
      <c r="R11" s="66">
        <f t="shared" si="18"/>
        <v>0</v>
      </c>
      <c r="S11" s="66">
        <f t="shared" si="5"/>
        <v>0</v>
      </c>
      <c r="T11" s="65">
        <f t="shared" si="19"/>
        <v>0</v>
      </c>
      <c r="U11" s="65">
        <f t="shared" si="20"/>
        <v>0</v>
      </c>
      <c r="V11" s="65">
        <f t="shared" si="6"/>
        <v>0</v>
      </c>
      <c r="W11" s="68">
        <f t="shared" si="7"/>
        <v>0</v>
      </c>
      <c r="X11" s="3"/>
      <c r="Y11" s="78">
        <f t="shared" si="29"/>
        <v>1986</v>
      </c>
      <c r="Z11" s="78">
        <f t="shared" si="21"/>
        <v>0</v>
      </c>
      <c r="AA11" s="78" t="str">
        <f t="shared" si="8"/>
        <v/>
      </c>
      <c r="AB11" s="80">
        <v>-0.11104143805194128</v>
      </c>
      <c r="AC11" s="81">
        <f t="shared" si="9"/>
        <v>0</v>
      </c>
      <c r="AD11" s="78">
        <f t="shared" si="10"/>
        <v>0</v>
      </c>
      <c r="AE11" s="78">
        <f t="shared" si="22"/>
        <v>0</v>
      </c>
      <c r="AF11" s="78">
        <f t="shared" ref="AF11:AF36" si="30">IF(Z11=time1,AE11,0)</f>
        <v>0</v>
      </c>
      <c r="AG11" s="82">
        <v>8.5000000000000006E-2</v>
      </c>
      <c r="AH11" s="81">
        <f t="shared" si="12"/>
        <v>0</v>
      </c>
      <c r="AI11" s="78">
        <f t="shared" si="13"/>
        <v>0</v>
      </c>
      <c r="AJ11" s="81">
        <f t="shared" si="23"/>
        <v>0</v>
      </c>
      <c r="AK11" s="81">
        <f t="shared" si="14"/>
        <v>0</v>
      </c>
      <c r="AL11" s="80">
        <f t="shared" si="24"/>
        <v>0</v>
      </c>
      <c r="AM11" s="80">
        <f t="shared" si="25"/>
        <v>0</v>
      </c>
      <c r="AN11" s="80">
        <f t="shared" si="26"/>
        <v>0</v>
      </c>
      <c r="AO11" s="83">
        <f t="shared" si="27"/>
        <v>0</v>
      </c>
      <c r="AP11" s="3"/>
      <c r="AQ11" s="33"/>
      <c r="AW11" s="95" t="str">
        <f t="shared" si="0"/>
        <v/>
      </c>
    </row>
    <row r="12" spans="1:50">
      <c r="A12" s="27"/>
      <c r="H12" s="63">
        <f t="shared" si="28"/>
        <v>1987</v>
      </c>
      <c r="I12" s="63">
        <f t="shared" si="1"/>
        <v>0</v>
      </c>
      <c r="J12" s="65">
        <v>-0.21943334117093818</v>
      </c>
      <c r="K12" s="66">
        <f t="shared" si="2"/>
        <v>0</v>
      </c>
      <c r="L12" s="63">
        <f t="shared" si="15"/>
        <v>0</v>
      </c>
      <c r="M12" s="63">
        <f t="shared" si="16"/>
        <v>0</v>
      </c>
      <c r="N12" s="63">
        <f t="shared" si="3"/>
        <v>0</v>
      </c>
      <c r="O12" s="67">
        <v>0.09</v>
      </c>
      <c r="P12" s="66">
        <f t="shared" si="4"/>
        <v>0</v>
      </c>
      <c r="Q12" s="63">
        <f t="shared" si="17"/>
        <v>0</v>
      </c>
      <c r="R12" s="66">
        <f t="shared" si="18"/>
        <v>0</v>
      </c>
      <c r="S12" s="66">
        <f t="shared" si="5"/>
        <v>0</v>
      </c>
      <c r="T12" s="65">
        <f t="shared" si="19"/>
        <v>0</v>
      </c>
      <c r="U12" s="65">
        <f t="shared" si="20"/>
        <v>0</v>
      </c>
      <c r="V12" s="65">
        <f t="shared" si="6"/>
        <v>0</v>
      </c>
      <c r="W12" s="68">
        <f t="shared" si="7"/>
        <v>0</v>
      </c>
      <c r="X12" s="3"/>
      <c r="Y12" s="78">
        <f t="shared" si="29"/>
        <v>1987</v>
      </c>
      <c r="Z12" s="78">
        <f t="shared" si="21"/>
        <v>0</v>
      </c>
      <c r="AA12" s="78" t="str">
        <f t="shared" si="8"/>
        <v/>
      </c>
      <c r="AB12" s="80">
        <v>-0.21943334117093818</v>
      </c>
      <c r="AC12" s="81">
        <f t="shared" si="9"/>
        <v>0</v>
      </c>
      <c r="AD12" s="78">
        <f t="shared" si="10"/>
        <v>0</v>
      </c>
      <c r="AE12" s="78">
        <f t="shared" si="22"/>
        <v>0</v>
      </c>
      <c r="AF12" s="78">
        <f t="shared" si="30"/>
        <v>0</v>
      </c>
      <c r="AG12" s="82">
        <v>0.09</v>
      </c>
      <c r="AH12" s="81">
        <f t="shared" si="12"/>
        <v>0</v>
      </c>
      <c r="AI12" s="78">
        <f t="shared" si="13"/>
        <v>0</v>
      </c>
      <c r="AJ12" s="81">
        <f t="shared" si="23"/>
        <v>0</v>
      </c>
      <c r="AK12" s="81">
        <f t="shared" si="14"/>
        <v>0</v>
      </c>
      <c r="AL12" s="80">
        <f t="shared" si="24"/>
        <v>0</v>
      </c>
      <c r="AM12" s="80">
        <f t="shared" si="25"/>
        <v>0</v>
      </c>
      <c r="AN12" s="80">
        <f t="shared" si="26"/>
        <v>0</v>
      </c>
      <c r="AO12" s="83">
        <f t="shared" si="27"/>
        <v>0</v>
      </c>
      <c r="AP12" s="3"/>
      <c r="AQ12" s="33"/>
      <c r="AW12" s="95" t="str">
        <f t="shared" si="0"/>
        <v/>
      </c>
    </row>
    <row r="13" spans="1:50">
      <c r="A13" s="38"/>
      <c r="B13" s="38" t="s">
        <v>26</v>
      </c>
      <c r="C13" s="38" t="s">
        <v>27</v>
      </c>
      <c r="D13" s="38" t="s">
        <v>28</v>
      </c>
      <c r="E13" s="38" t="s">
        <v>29</v>
      </c>
      <c r="F13" s="38" t="s">
        <v>30</v>
      </c>
      <c r="H13" s="63">
        <f t="shared" si="28"/>
        <v>1988</v>
      </c>
      <c r="I13" s="63">
        <f t="shared" si="1"/>
        <v>0</v>
      </c>
      <c r="J13" s="65">
        <v>0.79129954564851768</v>
      </c>
      <c r="K13" s="66">
        <f t="shared" si="2"/>
        <v>0</v>
      </c>
      <c r="L13" s="63">
        <f t="shared" si="15"/>
        <v>0</v>
      </c>
      <c r="M13" s="63">
        <f t="shared" si="16"/>
        <v>0</v>
      </c>
      <c r="N13" s="63">
        <f t="shared" si="3"/>
        <v>0</v>
      </c>
      <c r="O13" s="67">
        <v>0.09</v>
      </c>
      <c r="P13" s="66">
        <f t="shared" si="4"/>
        <v>0</v>
      </c>
      <c r="Q13" s="63">
        <f t="shared" si="17"/>
        <v>0</v>
      </c>
      <c r="R13" s="66">
        <f t="shared" si="18"/>
        <v>0</v>
      </c>
      <c r="S13" s="66">
        <f t="shared" si="5"/>
        <v>0</v>
      </c>
      <c r="T13" s="65">
        <f t="shared" si="19"/>
        <v>0</v>
      </c>
      <c r="U13" s="65">
        <f t="shared" si="20"/>
        <v>0</v>
      </c>
      <c r="V13" s="65">
        <f t="shared" si="6"/>
        <v>0</v>
      </c>
      <c r="W13" s="68">
        <f t="shared" si="7"/>
        <v>0</v>
      </c>
      <c r="X13" s="3"/>
      <c r="Y13" s="78">
        <f t="shared" si="29"/>
        <v>1988</v>
      </c>
      <c r="Z13" s="78">
        <f t="shared" si="21"/>
        <v>0</v>
      </c>
      <c r="AA13" s="78" t="str">
        <f t="shared" si="8"/>
        <v/>
      </c>
      <c r="AB13" s="80">
        <v>0.79129954564851768</v>
      </c>
      <c r="AC13" s="81">
        <f t="shared" si="9"/>
        <v>0</v>
      </c>
      <c r="AD13" s="78">
        <f t="shared" si="10"/>
        <v>0</v>
      </c>
      <c r="AE13" s="78">
        <f t="shared" si="22"/>
        <v>0</v>
      </c>
      <c r="AF13" s="78">
        <f t="shared" si="30"/>
        <v>0</v>
      </c>
      <c r="AG13" s="82">
        <v>0.09</v>
      </c>
      <c r="AH13" s="81">
        <f t="shared" si="12"/>
        <v>0</v>
      </c>
      <c r="AI13" s="78">
        <f t="shared" si="13"/>
        <v>0</v>
      </c>
      <c r="AJ13" s="81">
        <f t="shared" si="23"/>
        <v>0</v>
      </c>
      <c r="AK13" s="81">
        <f t="shared" si="14"/>
        <v>0</v>
      </c>
      <c r="AL13" s="80">
        <f t="shared" si="24"/>
        <v>0</v>
      </c>
      <c r="AM13" s="80">
        <f t="shared" si="25"/>
        <v>0</v>
      </c>
      <c r="AN13" s="80">
        <f t="shared" si="26"/>
        <v>0</v>
      </c>
      <c r="AO13" s="83">
        <f t="shared" si="27"/>
        <v>0</v>
      </c>
      <c r="AP13" s="3"/>
      <c r="AW13" s="95" t="str">
        <f t="shared" si="0"/>
        <v/>
      </c>
    </row>
    <row r="14" spans="1:50">
      <c r="A14" s="29" t="s">
        <v>129</v>
      </c>
      <c r="B14" s="32">
        <f>MAX(N2:N57)</f>
        <v>9093562.2622052729</v>
      </c>
      <c r="C14" s="32">
        <f>MAX(S2:S57)</f>
        <v>5783470.3219199525</v>
      </c>
      <c r="D14" s="31">
        <f>B14+C14</f>
        <v>14877032.584125225</v>
      </c>
      <c r="E14" s="30">
        <f>B14/D14</f>
        <v>0.61124839317141133</v>
      </c>
      <c r="F14" s="30">
        <f>C14/D14</f>
        <v>0.38875160682858872</v>
      </c>
      <c r="H14" s="63">
        <f t="shared" si="28"/>
        <v>1989</v>
      </c>
      <c r="I14" s="63">
        <f t="shared" si="1"/>
        <v>0</v>
      </c>
      <c r="J14" s="65">
        <v>9.4520739910313803E-2</v>
      </c>
      <c r="K14" s="66">
        <f t="shared" si="2"/>
        <v>0</v>
      </c>
      <c r="L14" s="63">
        <f t="shared" si="15"/>
        <v>0</v>
      </c>
      <c r="M14" s="63">
        <f t="shared" si="16"/>
        <v>0</v>
      </c>
      <c r="N14" s="63">
        <f t="shared" si="3"/>
        <v>0</v>
      </c>
      <c r="O14" s="67">
        <v>0.09</v>
      </c>
      <c r="P14" s="66">
        <f t="shared" si="4"/>
        <v>0</v>
      </c>
      <c r="Q14" s="63">
        <f t="shared" si="17"/>
        <v>0</v>
      </c>
      <c r="R14" s="66">
        <f t="shared" si="18"/>
        <v>0</v>
      </c>
      <c r="S14" s="66">
        <f t="shared" si="5"/>
        <v>0</v>
      </c>
      <c r="T14" s="65">
        <f t="shared" si="19"/>
        <v>0</v>
      </c>
      <c r="U14" s="65">
        <f t="shared" si="20"/>
        <v>0</v>
      </c>
      <c r="V14" s="65">
        <f t="shared" si="6"/>
        <v>0</v>
      </c>
      <c r="W14" s="68">
        <f t="shared" si="7"/>
        <v>0</v>
      </c>
      <c r="X14" s="3"/>
      <c r="Y14" s="78">
        <f t="shared" si="29"/>
        <v>1989</v>
      </c>
      <c r="Z14" s="78">
        <f t="shared" si="21"/>
        <v>0</v>
      </c>
      <c r="AA14" s="78" t="str">
        <f t="shared" si="8"/>
        <v/>
      </c>
      <c r="AB14" s="80">
        <v>9.4520739910313803E-2</v>
      </c>
      <c r="AC14" s="81">
        <f t="shared" si="9"/>
        <v>0</v>
      </c>
      <c r="AD14" s="78">
        <f t="shared" si="10"/>
        <v>0</v>
      </c>
      <c r="AE14" s="78">
        <f t="shared" si="22"/>
        <v>0</v>
      </c>
      <c r="AF14" s="78">
        <f t="shared" si="30"/>
        <v>0</v>
      </c>
      <c r="AG14" s="82">
        <v>0.09</v>
      </c>
      <c r="AH14" s="81">
        <f t="shared" si="12"/>
        <v>0</v>
      </c>
      <c r="AI14" s="78">
        <f t="shared" si="13"/>
        <v>0</v>
      </c>
      <c r="AJ14" s="81">
        <f t="shared" si="23"/>
        <v>0</v>
      </c>
      <c r="AK14" s="81">
        <f t="shared" si="14"/>
        <v>0</v>
      </c>
      <c r="AL14" s="80">
        <f t="shared" si="24"/>
        <v>0</v>
      </c>
      <c r="AM14" s="80">
        <f t="shared" si="25"/>
        <v>0</v>
      </c>
      <c r="AN14" s="80">
        <f t="shared" si="26"/>
        <v>0</v>
      </c>
      <c r="AO14" s="83">
        <f t="shared" si="27"/>
        <v>0</v>
      </c>
      <c r="AP14" s="3"/>
      <c r="AW14" s="95" t="str">
        <f t="shared" si="0"/>
        <v/>
      </c>
    </row>
    <row r="15" spans="1:50">
      <c r="A15" s="29" t="s">
        <v>128</v>
      </c>
      <c r="B15" s="32">
        <f>MAX(AF4:AF58)</f>
        <v>7117237.7455785489</v>
      </c>
      <c r="C15" s="32">
        <f>MAX(AK4:AK58)</f>
        <v>8754265.3466626033</v>
      </c>
      <c r="D15" s="31">
        <f>B15+C15</f>
        <v>15871503.092241153</v>
      </c>
      <c r="E15" s="30">
        <f>B15/D15</f>
        <v>0.4484287155548512</v>
      </c>
      <c r="F15" s="30">
        <f>C15/D15</f>
        <v>0.5515712844451488</v>
      </c>
      <c r="H15" s="63">
        <f t="shared" si="28"/>
        <v>1990</v>
      </c>
      <c r="I15" s="63">
        <f t="shared" si="1"/>
        <v>0</v>
      </c>
      <c r="J15" s="65">
        <v>0.49538441841111336</v>
      </c>
      <c r="K15" s="66">
        <f t="shared" si="2"/>
        <v>0</v>
      </c>
      <c r="L15" s="63">
        <f t="shared" si="15"/>
        <v>0</v>
      </c>
      <c r="M15" s="63">
        <f t="shared" si="16"/>
        <v>0</v>
      </c>
      <c r="N15" s="63">
        <f t="shared" si="3"/>
        <v>0</v>
      </c>
      <c r="O15" s="67">
        <v>0.09</v>
      </c>
      <c r="P15" s="66">
        <f t="shared" si="4"/>
        <v>0</v>
      </c>
      <c r="Q15" s="63">
        <f t="shared" si="17"/>
        <v>0</v>
      </c>
      <c r="R15" s="66">
        <f t="shared" si="18"/>
        <v>0</v>
      </c>
      <c r="S15" s="66">
        <f t="shared" si="5"/>
        <v>0</v>
      </c>
      <c r="T15" s="65">
        <f t="shared" si="19"/>
        <v>0</v>
      </c>
      <c r="U15" s="65">
        <f t="shared" si="20"/>
        <v>0</v>
      </c>
      <c r="V15" s="65">
        <f t="shared" si="6"/>
        <v>0</v>
      </c>
      <c r="W15" s="68">
        <f t="shared" si="7"/>
        <v>0</v>
      </c>
      <c r="X15" s="3"/>
      <c r="Y15" s="78">
        <f t="shared" si="29"/>
        <v>1990</v>
      </c>
      <c r="Z15" s="78">
        <f t="shared" si="21"/>
        <v>0</v>
      </c>
      <c r="AA15" s="78" t="str">
        <f t="shared" si="8"/>
        <v/>
      </c>
      <c r="AB15" s="80">
        <v>0.49538441841111336</v>
      </c>
      <c r="AC15" s="81">
        <f t="shared" si="9"/>
        <v>0</v>
      </c>
      <c r="AD15" s="78">
        <f t="shared" si="10"/>
        <v>0</v>
      </c>
      <c r="AE15" s="78">
        <f t="shared" si="22"/>
        <v>0</v>
      </c>
      <c r="AF15" s="78">
        <f t="shared" si="30"/>
        <v>0</v>
      </c>
      <c r="AG15" s="82">
        <v>0.09</v>
      </c>
      <c r="AH15" s="81">
        <f t="shared" si="12"/>
        <v>0</v>
      </c>
      <c r="AI15" s="78">
        <f t="shared" si="13"/>
        <v>0</v>
      </c>
      <c r="AJ15" s="81">
        <f t="shared" si="23"/>
        <v>0</v>
      </c>
      <c r="AK15" s="81">
        <f t="shared" si="14"/>
        <v>0</v>
      </c>
      <c r="AL15" s="80">
        <f t="shared" si="24"/>
        <v>0</v>
      </c>
      <c r="AM15" s="80">
        <f t="shared" si="25"/>
        <v>0</v>
      </c>
      <c r="AN15" s="80">
        <f t="shared" si="26"/>
        <v>0</v>
      </c>
      <c r="AO15" s="83">
        <f t="shared" si="27"/>
        <v>0</v>
      </c>
      <c r="AP15" s="3"/>
      <c r="AW15" s="95" t="str">
        <f t="shared" si="0"/>
        <v/>
      </c>
    </row>
    <row r="16" spans="1:50">
      <c r="A16" s="27" t="s">
        <v>131</v>
      </c>
      <c r="H16" s="63">
        <f t="shared" si="28"/>
        <v>1991</v>
      </c>
      <c r="I16" s="63">
        <f t="shared" si="1"/>
        <v>0</v>
      </c>
      <c r="J16" s="65">
        <v>2.6687586153753942</v>
      </c>
      <c r="K16" s="66">
        <f t="shared" si="2"/>
        <v>0</v>
      </c>
      <c r="L16" s="63">
        <f t="shared" si="15"/>
        <v>0</v>
      </c>
      <c r="M16" s="63">
        <f t="shared" si="16"/>
        <v>0</v>
      </c>
      <c r="N16" s="63">
        <f t="shared" si="3"/>
        <v>0</v>
      </c>
      <c r="O16" s="67">
        <v>0.12</v>
      </c>
      <c r="P16" s="66">
        <f t="shared" si="4"/>
        <v>0</v>
      </c>
      <c r="Q16" s="63">
        <f t="shared" si="17"/>
        <v>0</v>
      </c>
      <c r="R16" s="66">
        <f t="shared" si="18"/>
        <v>0</v>
      </c>
      <c r="S16" s="66">
        <f t="shared" si="5"/>
        <v>0</v>
      </c>
      <c r="T16" s="65">
        <f t="shared" si="19"/>
        <v>0</v>
      </c>
      <c r="U16" s="65">
        <f t="shared" si="20"/>
        <v>0</v>
      </c>
      <c r="V16" s="65">
        <f t="shared" si="6"/>
        <v>0</v>
      </c>
      <c r="W16" s="68">
        <f t="shared" si="7"/>
        <v>0</v>
      </c>
      <c r="X16" s="3"/>
      <c r="Y16" s="78">
        <f t="shared" si="29"/>
        <v>1991</v>
      </c>
      <c r="Z16" s="78">
        <f t="shared" si="21"/>
        <v>0</v>
      </c>
      <c r="AA16" s="78" t="str">
        <f t="shared" si="8"/>
        <v/>
      </c>
      <c r="AB16" s="80">
        <v>2.6687586153753942</v>
      </c>
      <c r="AC16" s="81">
        <f t="shared" si="9"/>
        <v>0</v>
      </c>
      <c r="AD16" s="78">
        <f t="shared" si="10"/>
        <v>0</v>
      </c>
      <c r="AE16" s="78">
        <f t="shared" si="22"/>
        <v>0</v>
      </c>
      <c r="AF16" s="78">
        <f t="shared" si="30"/>
        <v>0</v>
      </c>
      <c r="AG16" s="82">
        <v>0.12</v>
      </c>
      <c r="AH16" s="81">
        <f t="shared" si="12"/>
        <v>0</v>
      </c>
      <c r="AI16" s="78">
        <f t="shared" si="13"/>
        <v>0</v>
      </c>
      <c r="AJ16" s="81">
        <f t="shared" si="23"/>
        <v>0</v>
      </c>
      <c r="AK16" s="81">
        <f t="shared" si="14"/>
        <v>0</v>
      </c>
      <c r="AL16" s="80">
        <f t="shared" si="24"/>
        <v>0</v>
      </c>
      <c r="AM16" s="80">
        <f t="shared" si="25"/>
        <v>0</v>
      </c>
      <c r="AN16" s="80">
        <f t="shared" si="26"/>
        <v>0</v>
      </c>
      <c r="AO16" s="83">
        <f t="shared" si="27"/>
        <v>0</v>
      </c>
      <c r="AP16" s="3"/>
      <c r="AW16" s="103" t="str">
        <f t="shared" si="0"/>
        <v/>
      </c>
    </row>
    <row r="17" spans="1:49">
      <c r="A17" s="37" t="s">
        <v>44</v>
      </c>
      <c r="B17" s="38"/>
      <c r="C17" s="60">
        <f>(D15-D14)/D14</f>
        <v>6.6846026080301407E-2</v>
      </c>
      <c r="D17" s="39"/>
      <c r="H17" s="63">
        <f t="shared" si="28"/>
        <v>1992</v>
      </c>
      <c r="I17" s="63">
        <f t="shared" si="1"/>
        <v>0</v>
      </c>
      <c r="J17" s="65">
        <v>-0.4677899649941657</v>
      </c>
      <c r="K17" s="66">
        <f t="shared" si="2"/>
        <v>0</v>
      </c>
      <c r="L17" s="63">
        <f t="shared" si="15"/>
        <v>0</v>
      </c>
      <c r="M17" s="63">
        <f t="shared" si="16"/>
        <v>0</v>
      </c>
      <c r="N17" s="63">
        <f t="shared" si="3"/>
        <v>0</v>
      </c>
      <c r="O17" s="67">
        <v>0.11</v>
      </c>
      <c r="P17" s="66">
        <f t="shared" si="4"/>
        <v>0</v>
      </c>
      <c r="Q17" s="63">
        <f t="shared" si="17"/>
        <v>0</v>
      </c>
      <c r="R17" s="66">
        <f t="shared" si="18"/>
        <v>0</v>
      </c>
      <c r="S17" s="66">
        <f t="shared" si="5"/>
        <v>0</v>
      </c>
      <c r="T17" s="65">
        <f t="shared" si="19"/>
        <v>0</v>
      </c>
      <c r="U17" s="65">
        <f t="shared" si="20"/>
        <v>0</v>
      </c>
      <c r="V17" s="65">
        <f t="shared" si="6"/>
        <v>0</v>
      </c>
      <c r="W17" s="68">
        <f t="shared" si="7"/>
        <v>0</v>
      </c>
      <c r="X17" s="3"/>
      <c r="Y17" s="78">
        <f t="shared" si="29"/>
        <v>1992</v>
      </c>
      <c r="Z17" s="78">
        <f t="shared" si="21"/>
        <v>0</v>
      </c>
      <c r="AA17" s="78" t="str">
        <f t="shared" si="8"/>
        <v/>
      </c>
      <c r="AB17" s="80">
        <v>-0.4677899649941657</v>
      </c>
      <c r="AC17" s="81">
        <f t="shared" si="9"/>
        <v>0</v>
      </c>
      <c r="AD17" s="78">
        <f t="shared" si="10"/>
        <v>0</v>
      </c>
      <c r="AE17" s="78">
        <f t="shared" si="22"/>
        <v>0</v>
      </c>
      <c r="AF17" s="78">
        <f t="shared" si="30"/>
        <v>0</v>
      </c>
      <c r="AG17" s="82">
        <v>0.11</v>
      </c>
      <c r="AH17" s="81">
        <f t="shared" si="12"/>
        <v>0</v>
      </c>
      <c r="AI17" s="78">
        <f t="shared" si="13"/>
        <v>0</v>
      </c>
      <c r="AJ17" s="81">
        <f t="shared" si="23"/>
        <v>0</v>
      </c>
      <c r="AK17" s="81">
        <f t="shared" si="14"/>
        <v>0</v>
      </c>
      <c r="AL17" s="80">
        <f t="shared" si="24"/>
        <v>0</v>
      </c>
      <c r="AM17" s="80">
        <f t="shared" si="25"/>
        <v>0</v>
      </c>
      <c r="AN17" s="80">
        <f t="shared" si="26"/>
        <v>0</v>
      </c>
      <c r="AO17" s="83">
        <f t="shared" si="27"/>
        <v>0</v>
      </c>
      <c r="AP17" s="3"/>
      <c r="AW17" s="103" t="str">
        <f t="shared" si="0"/>
        <v/>
      </c>
    </row>
    <row r="18" spans="1:49" ht="15" thickBot="1">
      <c r="A18" s="205" t="s">
        <v>122</v>
      </c>
      <c r="B18" s="205"/>
      <c r="C18" s="205"/>
      <c r="D18" s="2"/>
      <c r="H18" s="63">
        <f t="shared" si="28"/>
        <v>1993</v>
      </c>
      <c r="I18" s="63">
        <f t="shared" si="1"/>
        <v>0</v>
      </c>
      <c r="J18" s="65">
        <v>0.65707382526792135</v>
      </c>
      <c r="K18" s="66">
        <f t="shared" si="2"/>
        <v>0</v>
      </c>
      <c r="L18" s="63">
        <f t="shared" si="15"/>
        <v>0</v>
      </c>
      <c r="M18" s="63">
        <f t="shared" si="16"/>
        <v>0</v>
      </c>
      <c r="N18" s="63">
        <f t="shared" si="3"/>
        <v>0</v>
      </c>
      <c r="O18" s="67">
        <v>0.1</v>
      </c>
      <c r="P18" s="66">
        <f t="shared" si="4"/>
        <v>0</v>
      </c>
      <c r="Q18" s="63">
        <f t="shared" si="17"/>
        <v>0</v>
      </c>
      <c r="R18" s="66">
        <f t="shared" si="18"/>
        <v>0</v>
      </c>
      <c r="S18" s="66">
        <f t="shared" si="5"/>
        <v>0</v>
      </c>
      <c r="T18" s="65">
        <f t="shared" si="19"/>
        <v>0</v>
      </c>
      <c r="U18" s="65">
        <f t="shared" si="20"/>
        <v>0</v>
      </c>
      <c r="V18" s="65">
        <f t="shared" si="6"/>
        <v>0</v>
      </c>
      <c r="W18" s="68">
        <f t="shared" si="7"/>
        <v>0</v>
      </c>
      <c r="X18" s="3"/>
      <c r="Y18" s="78">
        <f t="shared" si="29"/>
        <v>1993</v>
      </c>
      <c r="Z18" s="78">
        <f t="shared" si="21"/>
        <v>0</v>
      </c>
      <c r="AA18" s="78" t="str">
        <f t="shared" si="8"/>
        <v/>
      </c>
      <c r="AB18" s="80">
        <v>0.65707382526792135</v>
      </c>
      <c r="AC18" s="81">
        <f t="shared" si="9"/>
        <v>0</v>
      </c>
      <c r="AD18" s="78">
        <f t="shared" si="10"/>
        <v>0</v>
      </c>
      <c r="AE18" s="78">
        <f t="shared" si="22"/>
        <v>0</v>
      </c>
      <c r="AF18" s="78">
        <f t="shared" si="30"/>
        <v>0</v>
      </c>
      <c r="AG18" s="82">
        <v>0.1</v>
      </c>
      <c r="AH18" s="81">
        <f t="shared" si="12"/>
        <v>0</v>
      </c>
      <c r="AI18" s="78">
        <f t="shared" si="13"/>
        <v>0</v>
      </c>
      <c r="AJ18" s="81">
        <f t="shared" si="23"/>
        <v>0</v>
      </c>
      <c r="AK18" s="81">
        <f t="shared" si="14"/>
        <v>0</v>
      </c>
      <c r="AL18" s="80">
        <f t="shared" si="24"/>
        <v>0</v>
      </c>
      <c r="AM18" s="80">
        <f t="shared" si="25"/>
        <v>0</v>
      </c>
      <c r="AN18" s="80">
        <f t="shared" si="26"/>
        <v>0</v>
      </c>
      <c r="AO18" s="83">
        <f t="shared" si="27"/>
        <v>0</v>
      </c>
      <c r="AP18" s="3"/>
      <c r="AW18" s="96"/>
    </row>
    <row r="19" spans="1:49">
      <c r="A19" s="201" t="s">
        <v>119</v>
      </c>
      <c r="B19" s="202"/>
      <c r="C19" s="202"/>
      <c r="D19" s="142"/>
      <c r="E19" s="162"/>
      <c r="F19" s="8"/>
      <c r="H19" s="63">
        <f t="shared" si="28"/>
        <v>1994</v>
      </c>
      <c r="I19" s="63">
        <f t="shared" si="1"/>
        <v>0</v>
      </c>
      <c r="J19" s="65">
        <v>-0.13708160116856616</v>
      </c>
      <c r="K19" s="66">
        <f t="shared" si="2"/>
        <v>0</v>
      </c>
      <c r="L19" s="63">
        <f t="shared" si="15"/>
        <v>0</v>
      </c>
      <c r="M19" s="63">
        <f t="shared" si="16"/>
        <v>0</v>
      </c>
      <c r="N19" s="63">
        <f t="shared" si="3"/>
        <v>0</v>
      </c>
      <c r="O19" s="67">
        <v>0.11</v>
      </c>
      <c r="P19" s="66">
        <f t="shared" si="4"/>
        <v>0</v>
      </c>
      <c r="Q19" s="63">
        <f t="shared" si="17"/>
        <v>0</v>
      </c>
      <c r="R19" s="66">
        <f t="shared" si="18"/>
        <v>0</v>
      </c>
      <c r="S19" s="66">
        <f t="shared" si="5"/>
        <v>0</v>
      </c>
      <c r="T19" s="65">
        <f t="shared" si="19"/>
        <v>0</v>
      </c>
      <c r="U19" s="65">
        <f t="shared" si="20"/>
        <v>0</v>
      </c>
      <c r="V19" s="65">
        <f t="shared" si="6"/>
        <v>0</v>
      </c>
      <c r="W19" s="68">
        <f t="shared" si="7"/>
        <v>0</v>
      </c>
      <c r="X19" s="3"/>
      <c r="Y19" s="78">
        <f t="shared" si="29"/>
        <v>1994</v>
      </c>
      <c r="Z19" s="78">
        <f t="shared" si="21"/>
        <v>0</v>
      </c>
      <c r="AA19" s="78" t="str">
        <f t="shared" si="8"/>
        <v/>
      </c>
      <c r="AB19" s="80">
        <v>-0.13708160116856616</v>
      </c>
      <c r="AC19" s="81">
        <f t="shared" si="9"/>
        <v>0</v>
      </c>
      <c r="AD19" s="78">
        <f t="shared" si="10"/>
        <v>0</v>
      </c>
      <c r="AE19" s="78">
        <f t="shared" si="22"/>
        <v>0</v>
      </c>
      <c r="AF19" s="78">
        <f t="shared" si="30"/>
        <v>0</v>
      </c>
      <c r="AG19" s="82">
        <v>0.11</v>
      </c>
      <c r="AH19" s="81">
        <f t="shared" si="12"/>
        <v>0</v>
      </c>
      <c r="AI19" s="78">
        <f t="shared" si="13"/>
        <v>0</v>
      </c>
      <c r="AJ19" s="81">
        <f t="shared" si="23"/>
        <v>0</v>
      </c>
      <c r="AK19" s="81">
        <f t="shared" si="14"/>
        <v>0</v>
      </c>
      <c r="AL19" s="80">
        <f t="shared" si="24"/>
        <v>0</v>
      </c>
      <c r="AM19" s="80">
        <f t="shared" si="25"/>
        <v>0</v>
      </c>
      <c r="AN19" s="80">
        <f t="shared" si="26"/>
        <v>0</v>
      </c>
      <c r="AO19" s="83">
        <f t="shared" si="27"/>
        <v>0</v>
      </c>
      <c r="AP19" s="3"/>
    </row>
    <row r="20" spans="1:49">
      <c r="A20" s="203" t="s">
        <v>120</v>
      </c>
      <c r="B20" s="204"/>
      <c r="C20" s="204"/>
      <c r="D20" s="143"/>
      <c r="E20" s="163"/>
      <c r="H20" s="63">
        <f t="shared" si="28"/>
        <v>1995</v>
      </c>
      <c r="I20" s="63">
        <f t="shared" si="1"/>
        <v>0</v>
      </c>
      <c r="J20" s="65">
        <v>3.2398434816741109E-2</v>
      </c>
      <c r="K20" s="66">
        <f t="shared" si="2"/>
        <v>0</v>
      </c>
      <c r="L20" s="63">
        <f t="shared" si="15"/>
        <v>0</v>
      </c>
      <c r="M20" s="63">
        <f t="shared" si="16"/>
        <v>0</v>
      </c>
      <c r="N20" s="63">
        <f t="shared" si="3"/>
        <v>0</v>
      </c>
      <c r="O20" s="67">
        <v>0.12</v>
      </c>
      <c r="P20" s="66">
        <f t="shared" si="4"/>
        <v>0</v>
      </c>
      <c r="Q20" s="63">
        <f t="shared" si="17"/>
        <v>0</v>
      </c>
      <c r="R20" s="66">
        <f t="shared" si="18"/>
        <v>0</v>
      </c>
      <c r="S20" s="66">
        <f t="shared" si="5"/>
        <v>0</v>
      </c>
      <c r="T20" s="65">
        <f t="shared" si="19"/>
        <v>0</v>
      </c>
      <c r="U20" s="65">
        <f t="shared" si="20"/>
        <v>0</v>
      </c>
      <c r="V20" s="65">
        <f t="shared" si="6"/>
        <v>0</v>
      </c>
      <c r="W20" s="68">
        <f t="shared" si="7"/>
        <v>0</v>
      </c>
      <c r="X20" s="3"/>
      <c r="Y20" s="78">
        <f t="shared" si="29"/>
        <v>1995</v>
      </c>
      <c r="Z20" s="78">
        <f t="shared" si="21"/>
        <v>0</v>
      </c>
      <c r="AA20" s="78" t="str">
        <f t="shared" si="8"/>
        <v/>
      </c>
      <c r="AB20" s="80">
        <v>3.2398434816741109E-2</v>
      </c>
      <c r="AC20" s="81">
        <f t="shared" si="9"/>
        <v>0</v>
      </c>
      <c r="AD20" s="78">
        <f t="shared" si="10"/>
        <v>0</v>
      </c>
      <c r="AE20" s="78">
        <f t="shared" si="22"/>
        <v>0</v>
      </c>
      <c r="AF20" s="78">
        <f t="shared" si="30"/>
        <v>0</v>
      </c>
      <c r="AG20" s="82">
        <v>0.12</v>
      </c>
      <c r="AH20" s="81">
        <f t="shared" si="12"/>
        <v>0</v>
      </c>
      <c r="AI20" s="78">
        <f t="shared" si="13"/>
        <v>0</v>
      </c>
      <c r="AJ20" s="81">
        <f t="shared" si="23"/>
        <v>0</v>
      </c>
      <c r="AK20" s="81">
        <f t="shared" si="14"/>
        <v>0</v>
      </c>
      <c r="AL20" s="80">
        <f t="shared" si="24"/>
        <v>0</v>
      </c>
      <c r="AM20" s="80">
        <f t="shared" si="25"/>
        <v>0</v>
      </c>
      <c r="AN20" s="80">
        <f t="shared" si="26"/>
        <v>0</v>
      </c>
      <c r="AO20" s="83">
        <f t="shared" si="27"/>
        <v>0</v>
      </c>
      <c r="AP20" s="3"/>
    </row>
    <row r="21" spans="1:49">
      <c r="A21" s="203" t="s">
        <v>121</v>
      </c>
      <c r="B21" s="204"/>
      <c r="C21" s="204"/>
      <c r="D21" s="143"/>
      <c r="E21" s="163"/>
      <c r="H21" s="63">
        <f t="shared" si="28"/>
        <v>1996</v>
      </c>
      <c r="I21" s="63">
        <f t="shared" si="1"/>
        <v>0</v>
      </c>
      <c r="J21" s="65">
        <v>-1.6990384986678749E-3</v>
      </c>
      <c r="K21" s="66">
        <f t="shared" si="2"/>
        <v>0</v>
      </c>
      <c r="L21" s="63">
        <f t="shared" si="15"/>
        <v>0</v>
      </c>
      <c r="M21" s="63">
        <f t="shared" si="16"/>
        <v>0</v>
      </c>
      <c r="N21" s="63">
        <f t="shared" si="3"/>
        <v>0</v>
      </c>
      <c r="O21" s="67">
        <v>0.12</v>
      </c>
      <c r="P21" s="66">
        <f t="shared" si="4"/>
        <v>0</v>
      </c>
      <c r="Q21" s="63">
        <f t="shared" si="17"/>
        <v>0</v>
      </c>
      <c r="R21" s="66">
        <f t="shared" si="18"/>
        <v>0</v>
      </c>
      <c r="S21" s="66">
        <f t="shared" si="5"/>
        <v>0</v>
      </c>
      <c r="T21" s="65">
        <f t="shared" si="19"/>
        <v>0</v>
      </c>
      <c r="U21" s="65">
        <f t="shared" si="20"/>
        <v>0</v>
      </c>
      <c r="V21" s="65">
        <f t="shared" si="6"/>
        <v>0</v>
      </c>
      <c r="W21" s="68">
        <f t="shared" si="7"/>
        <v>0</v>
      </c>
      <c r="X21" s="3"/>
      <c r="Y21" s="78">
        <f t="shared" si="29"/>
        <v>1996</v>
      </c>
      <c r="Z21" s="78">
        <f t="shared" si="21"/>
        <v>0</v>
      </c>
      <c r="AA21" s="78" t="str">
        <f t="shared" si="8"/>
        <v/>
      </c>
      <c r="AB21" s="80">
        <v>-1.6990384986678749E-3</v>
      </c>
      <c r="AC21" s="81">
        <f t="shared" si="9"/>
        <v>0</v>
      </c>
      <c r="AD21" s="78">
        <f t="shared" si="10"/>
        <v>0</v>
      </c>
      <c r="AE21" s="78">
        <f t="shared" si="22"/>
        <v>0</v>
      </c>
      <c r="AF21" s="78">
        <f t="shared" si="30"/>
        <v>0</v>
      </c>
      <c r="AG21" s="82">
        <v>0.12</v>
      </c>
      <c r="AH21" s="81">
        <f t="shared" si="12"/>
        <v>0</v>
      </c>
      <c r="AI21" s="78">
        <f t="shared" si="13"/>
        <v>0</v>
      </c>
      <c r="AJ21" s="81">
        <f t="shared" si="23"/>
        <v>0</v>
      </c>
      <c r="AK21" s="81">
        <f t="shared" si="14"/>
        <v>0</v>
      </c>
      <c r="AL21" s="80">
        <f t="shared" si="24"/>
        <v>0</v>
      </c>
      <c r="AM21" s="80">
        <f t="shared" si="25"/>
        <v>0</v>
      </c>
      <c r="AN21" s="80">
        <f t="shared" si="26"/>
        <v>0</v>
      </c>
      <c r="AO21" s="83">
        <f t="shared" si="27"/>
        <v>0</v>
      </c>
      <c r="AP21" s="3"/>
    </row>
    <row r="22" spans="1:49" ht="15" thickBot="1">
      <c r="A22" s="160">
        <f>D3</f>
        <v>1980</v>
      </c>
      <c r="B22" s="144" t="s">
        <v>11</v>
      </c>
      <c r="C22" s="161">
        <f>F3</f>
        <v>1997</v>
      </c>
      <c r="D22" s="145"/>
      <c r="E22" s="164"/>
      <c r="H22" s="63">
        <f t="shared" si="28"/>
        <v>1997</v>
      </c>
      <c r="I22" s="63">
        <f t="shared" si="1"/>
        <v>1</v>
      </c>
      <c r="J22" s="65">
        <v>0.15824974932235217</v>
      </c>
      <c r="K22" s="66">
        <f t="shared" si="2"/>
        <v>150000</v>
      </c>
      <c r="L22" s="63">
        <f t="shared" si="15"/>
        <v>0</v>
      </c>
      <c r="M22" s="63">
        <f t="shared" si="16"/>
        <v>173737.46239835283</v>
      </c>
      <c r="N22" s="63">
        <f t="shared" si="3"/>
        <v>0</v>
      </c>
      <c r="O22" s="67">
        <v>0.11</v>
      </c>
      <c r="P22" s="66">
        <f t="shared" si="4"/>
        <v>150000</v>
      </c>
      <c r="Q22" s="63">
        <f t="shared" si="17"/>
        <v>0</v>
      </c>
      <c r="R22" s="66">
        <f t="shared" si="18"/>
        <v>166500.00000000003</v>
      </c>
      <c r="S22" s="66">
        <f t="shared" si="5"/>
        <v>0</v>
      </c>
      <c r="T22" s="65">
        <f t="shared" si="19"/>
        <v>0.5</v>
      </c>
      <c r="U22" s="65">
        <f t="shared" si="20"/>
        <v>0.5</v>
      </c>
      <c r="V22" s="65">
        <f t="shared" si="6"/>
        <v>0.51063589874456439</v>
      </c>
      <c r="W22" s="68">
        <f t="shared" si="7"/>
        <v>0.48936410125543567</v>
      </c>
      <c r="X22" s="3"/>
      <c r="Y22" s="78">
        <f t="shared" si="29"/>
        <v>1997</v>
      </c>
      <c r="Z22" s="78">
        <f t="shared" si="21"/>
        <v>1</v>
      </c>
      <c r="AA22" s="78">
        <f t="shared" si="8"/>
        <v>1</v>
      </c>
      <c r="AB22" s="80">
        <v>0.15824974932235217</v>
      </c>
      <c r="AC22" s="81">
        <f t="shared" si="9"/>
        <v>150000</v>
      </c>
      <c r="AD22" s="78">
        <f t="shared" si="10"/>
        <v>0</v>
      </c>
      <c r="AE22" s="78">
        <f t="shared" si="22"/>
        <v>173737.46239835283</v>
      </c>
      <c r="AF22" s="78">
        <f t="shared" si="30"/>
        <v>0</v>
      </c>
      <c r="AG22" s="82">
        <v>0.11</v>
      </c>
      <c r="AH22" s="81">
        <f t="shared" si="12"/>
        <v>150000</v>
      </c>
      <c r="AI22" s="78">
        <f t="shared" si="13"/>
        <v>0</v>
      </c>
      <c r="AJ22" s="81">
        <f t="shared" si="23"/>
        <v>166500.00000000003</v>
      </c>
      <c r="AK22" s="81">
        <f t="shared" si="14"/>
        <v>0</v>
      </c>
      <c r="AL22" s="80">
        <f t="shared" si="24"/>
        <v>0.5</v>
      </c>
      <c r="AM22" s="80">
        <f t="shared" si="25"/>
        <v>0.5</v>
      </c>
      <c r="AN22" s="80">
        <f t="shared" si="26"/>
        <v>0.51063589874456439</v>
      </c>
      <c r="AO22" s="83">
        <f t="shared" si="27"/>
        <v>0.48936410125543567</v>
      </c>
      <c r="AP22" s="3"/>
    </row>
    <row r="23" spans="1:49" ht="15" thickBot="1">
      <c r="A23" s="154" t="s">
        <v>127</v>
      </c>
      <c r="B23" s="10"/>
      <c r="C23" s="10"/>
      <c r="D23" s="159">
        <f>AVERAGE(B26:B48)</f>
        <v>0.12303246154492532</v>
      </c>
      <c r="E23" s="9"/>
      <c r="H23" s="63">
        <f t="shared" si="28"/>
        <v>1998</v>
      </c>
      <c r="I23" s="63">
        <f t="shared" si="1"/>
        <v>2</v>
      </c>
      <c r="J23" s="65">
        <v>-3.9249887611585633E-2</v>
      </c>
      <c r="K23" s="66">
        <f t="shared" si="2"/>
        <v>157500</v>
      </c>
      <c r="L23" s="63">
        <f t="shared" si="15"/>
        <v>173737.46239835283</v>
      </c>
      <c r="M23" s="63">
        <f t="shared" si="16"/>
        <v>318236.42922647065</v>
      </c>
      <c r="N23" s="63">
        <f t="shared" si="3"/>
        <v>0</v>
      </c>
      <c r="O23" s="67">
        <v>0.105</v>
      </c>
      <c r="P23" s="66">
        <f t="shared" si="4"/>
        <v>157500</v>
      </c>
      <c r="Q23" s="63">
        <f t="shared" si="17"/>
        <v>166500.00000000003</v>
      </c>
      <c r="R23" s="66">
        <f t="shared" si="18"/>
        <v>358020</v>
      </c>
      <c r="S23" s="66">
        <f t="shared" si="5"/>
        <v>0</v>
      </c>
      <c r="T23" s="65">
        <f t="shared" si="19"/>
        <v>0.50552277823970992</v>
      </c>
      <c r="U23" s="65">
        <f t="shared" si="20"/>
        <v>0.49447722176029002</v>
      </c>
      <c r="V23" s="65">
        <f t="shared" si="6"/>
        <v>0.47058543989072649</v>
      </c>
      <c r="W23" s="68">
        <f t="shared" si="7"/>
        <v>0.52941456010927346</v>
      </c>
      <c r="X23" s="3"/>
      <c r="Y23" s="78">
        <f t="shared" si="29"/>
        <v>1998</v>
      </c>
      <c r="Z23" s="78">
        <f t="shared" si="21"/>
        <v>2</v>
      </c>
      <c r="AA23" s="78">
        <f t="shared" si="8"/>
        <v>1</v>
      </c>
      <c r="AB23" s="80">
        <v>-3.9249887611585633E-2</v>
      </c>
      <c r="AC23" s="81">
        <f t="shared" si="9"/>
        <v>157500</v>
      </c>
      <c r="AD23" s="78">
        <f t="shared" si="10"/>
        <v>173737.46239835283</v>
      </c>
      <c r="AE23" s="78">
        <f t="shared" si="22"/>
        <v>318236.42922647065</v>
      </c>
      <c r="AF23" s="78">
        <f t="shared" si="30"/>
        <v>0</v>
      </c>
      <c r="AG23" s="82">
        <v>0.105</v>
      </c>
      <c r="AH23" s="81">
        <f t="shared" si="12"/>
        <v>157500</v>
      </c>
      <c r="AI23" s="78">
        <f t="shared" si="13"/>
        <v>166500.00000000003</v>
      </c>
      <c r="AJ23" s="81">
        <f t="shared" si="23"/>
        <v>358020</v>
      </c>
      <c r="AK23" s="81">
        <f t="shared" si="14"/>
        <v>0</v>
      </c>
      <c r="AL23" s="80">
        <f t="shared" si="24"/>
        <v>0.50552277823970992</v>
      </c>
      <c r="AM23" s="80">
        <f t="shared" si="25"/>
        <v>0.49447722176029002</v>
      </c>
      <c r="AN23" s="80">
        <f t="shared" si="26"/>
        <v>0.47058543989072649</v>
      </c>
      <c r="AO23" s="83">
        <f t="shared" si="27"/>
        <v>0.52941456010927346</v>
      </c>
      <c r="AP23" s="3"/>
    </row>
    <row r="24" spans="1:49">
      <c r="A24" s="7"/>
      <c r="B24" s="8"/>
      <c r="C24" s="8"/>
      <c r="D24" s="8"/>
      <c r="E24" s="9"/>
      <c r="H24" s="63">
        <f t="shared" si="28"/>
        <v>1999</v>
      </c>
      <c r="I24" s="63">
        <f t="shared" si="1"/>
        <v>3</v>
      </c>
      <c r="J24" s="65">
        <v>0.33725494390314326</v>
      </c>
      <c r="K24" s="66">
        <f t="shared" si="2"/>
        <v>165375</v>
      </c>
      <c r="L24" s="63">
        <f t="shared" si="15"/>
        <v>318236.42922647065</v>
      </c>
      <c r="M24" s="63">
        <f t="shared" si="16"/>
        <v>646711.77466116298</v>
      </c>
      <c r="N24" s="63">
        <f t="shared" si="3"/>
        <v>0</v>
      </c>
      <c r="O24" s="67">
        <v>8.5000000000000006E-2</v>
      </c>
      <c r="P24" s="66">
        <f t="shared" si="4"/>
        <v>165375</v>
      </c>
      <c r="Q24" s="63">
        <f t="shared" si="17"/>
        <v>358020</v>
      </c>
      <c r="R24" s="66">
        <f t="shared" si="18"/>
        <v>567883.57499999995</v>
      </c>
      <c r="S24" s="66">
        <f t="shared" si="5"/>
        <v>0</v>
      </c>
      <c r="T24" s="65">
        <f t="shared" si="19"/>
        <v>0.4802466153050835</v>
      </c>
      <c r="U24" s="65">
        <f t="shared" si="20"/>
        <v>0.5197533846949165</v>
      </c>
      <c r="V24" s="65">
        <f t="shared" si="6"/>
        <v>0.53245039579772546</v>
      </c>
      <c r="W24" s="68">
        <f t="shared" si="7"/>
        <v>0.46754960420227448</v>
      </c>
      <c r="X24" s="3"/>
      <c r="Y24" s="78">
        <f t="shared" si="29"/>
        <v>1999</v>
      </c>
      <c r="Z24" s="78">
        <f t="shared" si="21"/>
        <v>3</v>
      </c>
      <c r="AA24" s="78">
        <f t="shared" si="8"/>
        <v>1</v>
      </c>
      <c r="AB24" s="80">
        <v>0.33725494390314326</v>
      </c>
      <c r="AC24" s="81">
        <f t="shared" si="9"/>
        <v>165375</v>
      </c>
      <c r="AD24" s="78">
        <f t="shared" si="10"/>
        <v>318236.42922647065</v>
      </c>
      <c r="AE24" s="78">
        <f t="shared" si="22"/>
        <v>646711.77466116298</v>
      </c>
      <c r="AF24" s="78">
        <f t="shared" si="30"/>
        <v>0</v>
      </c>
      <c r="AG24" s="82">
        <v>8.5000000000000006E-2</v>
      </c>
      <c r="AH24" s="81">
        <f t="shared" si="12"/>
        <v>165375</v>
      </c>
      <c r="AI24" s="78">
        <f t="shared" si="13"/>
        <v>358020</v>
      </c>
      <c r="AJ24" s="81">
        <f t="shared" si="23"/>
        <v>567883.57499999995</v>
      </c>
      <c r="AK24" s="81">
        <f t="shared" si="14"/>
        <v>0</v>
      </c>
      <c r="AL24" s="80">
        <f t="shared" si="24"/>
        <v>0.4802466153050835</v>
      </c>
      <c r="AM24" s="80">
        <f t="shared" si="25"/>
        <v>0.5197533846949165</v>
      </c>
      <c r="AN24" s="80">
        <f t="shared" si="26"/>
        <v>0.53245039579772546</v>
      </c>
      <c r="AO24" s="83">
        <f t="shared" si="27"/>
        <v>0.46754960420227448</v>
      </c>
      <c r="AP24" s="3"/>
    </row>
    <row r="25" spans="1:49">
      <c r="A25" s="170" t="s">
        <v>0</v>
      </c>
      <c r="B25" s="123" t="s">
        <v>118</v>
      </c>
      <c r="C25" s="151"/>
      <c r="D25" s="151"/>
      <c r="E25" s="9"/>
      <c r="H25" s="63">
        <f t="shared" si="28"/>
        <v>2000</v>
      </c>
      <c r="I25" s="63">
        <f t="shared" si="1"/>
        <v>4</v>
      </c>
      <c r="J25" s="65">
        <v>-0.27930849702476163</v>
      </c>
      <c r="K25" s="66">
        <f t="shared" si="2"/>
        <v>173643.75</v>
      </c>
      <c r="L25" s="63">
        <f t="shared" si="15"/>
        <v>646711.77466116298</v>
      </c>
      <c r="M25" s="63">
        <f t="shared" si="16"/>
        <v>591223.25604209374</v>
      </c>
      <c r="N25" s="63">
        <f t="shared" si="3"/>
        <v>0</v>
      </c>
      <c r="O25" s="67">
        <v>8.5000000000000006E-2</v>
      </c>
      <c r="P25" s="66">
        <f t="shared" si="4"/>
        <v>173643.75</v>
      </c>
      <c r="Q25" s="63">
        <f t="shared" si="17"/>
        <v>567883.57499999995</v>
      </c>
      <c r="R25" s="66">
        <f t="shared" si="18"/>
        <v>804557.14762499987</v>
      </c>
      <c r="S25" s="66">
        <f t="shared" si="5"/>
        <v>0</v>
      </c>
      <c r="T25" s="65">
        <f t="shared" si="19"/>
        <v>0.52523499111289429</v>
      </c>
      <c r="U25" s="65">
        <f t="shared" si="20"/>
        <v>0.47476500888710566</v>
      </c>
      <c r="V25" s="65">
        <f t="shared" si="6"/>
        <v>0.42357899171588159</v>
      </c>
      <c r="W25" s="68">
        <f t="shared" si="7"/>
        <v>0.57642100828411835</v>
      </c>
      <c r="X25" s="3"/>
      <c r="Y25" s="78">
        <f t="shared" si="29"/>
        <v>2000</v>
      </c>
      <c r="Z25" s="78">
        <f t="shared" si="21"/>
        <v>4</v>
      </c>
      <c r="AA25" s="78">
        <f t="shared" si="8"/>
        <v>1</v>
      </c>
      <c r="AB25" s="80">
        <v>-0.27930849702476163</v>
      </c>
      <c r="AC25" s="81">
        <f t="shared" si="9"/>
        <v>173643.75</v>
      </c>
      <c r="AD25" s="78">
        <f t="shared" si="10"/>
        <v>646711.77466116298</v>
      </c>
      <c r="AE25" s="78">
        <f t="shared" si="22"/>
        <v>591223.25604209374</v>
      </c>
      <c r="AF25" s="78">
        <f t="shared" si="30"/>
        <v>0</v>
      </c>
      <c r="AG25" s="82">
        <v>8.5000000000000006E-2</v>
      </c>
      <c r="AH25" s="81">
        <f t="shared" si="12"/>
        <v>173643.75</v>
      </c>
      <c r="AI25" s="78">
        <f t="shared" si="13"/>
        <v>567883.57499999995</v>
      </c>
      <c r="AJ25" s="81">
        <f t="shared" si="23"/>
        <v>804557.14762499987</v>
      </c>
      <c r="AK25" s="81">
        <f t="shared" si="14"/>
        <v>0</v>
      </c>
      <c r="AL25" s="80">
        <f t="shared" si="24"/>
        <v>0.52523499111289429</v>
      </c>
      <c r="AM25" s="80">
        <f t="shared" si="25"/>
        <v>0.47476500888710566</v>
      </c>
      <c r="AN25" s="80">
        <f t="shared" si="26"/>
        <v>0.42357899171588159</v>
      </c>
      <c r="AO25" s="83">
        <f t="shared" si="27"/>
        <v>0.57642100828411835</v>
      </c>
      <c r="AP25" s="3"/>
    </row>
    <row r="26" spans="1:49">
      <c r="A26" s="171">
        <v>1980</v>
      </c>
      <c r="B26" s="129">
        <v>0.10033192506152593</v>
      </c>
      <c r="C26" s="152"/>
      <c r="D26" s="147"/>
      <c r="E26" s="9"/>
      <c r="H26" s="63">
        <f t="shared" si="28"/>
        <v>2001</v>
      </c>
      <c r="I26" s="63">
        <f t="shared" si="1"/>
        <v>5</v>
      </c>
      <c r="J26" s="65">
        <v>-3.7462753649726219E-2</v>
      </c>
      <c r="K26" s="66">
        <f t="shared" si="2"/>
        <v>182325.9375</v>
      </c>
      <c r="L26" s="63">
        <f t="shared" si="15"/>
        <v>591223.25604209374</v>
      </c>
      <c r="M26" s="63">
        <f t="shared" si="16"/>
        <v>744569.91066848196</v>
      </c>
      <c r="N26" s="63">
        <f t="shared" si="3"/>
        <v>0</v>
      </c>
      <c r="O26" s="67">
        <v>7.4999999999999997E-2</v>
      </c>
      <c r="P26" s="66">
        <f t="shared" si="4"/>
        <v>182325.9375</v>
      </c>
      <c r="Q26" s="63">
        <f t="shared" si="17"/>
        <v>804557.14762499987</v>
      </c>
      <c r="R26" s="66">
        <f t="shared" si="18"/>
        <v>1060899.3165093749</v>
      </c>
      <c r="S26" s="66">
        <f t="shared" si="5"/>
        <v>0</v>
      </c>
      <c r="T26" s="65">
        <f t="shared" si="19"/>
        <v>0.4394086628130815</v>
      </c>
      <c r="U26" s="65">
        <f t="shared" si="20"/>
        <v>0.56059133718691845</v>
      </c>
      <c r="V26" s="65">
        <f t="shared" si="6"/>
        <v>0.41239689907776772</v>
      </c>
      <c r="W26" s="68">
        <f t="shared" si="7"/>
        <v>0.58760310092223222</v>
      </c>
      <c r="X26" s="3"/>
      <c r="Y26" s="78">
        <f t="shared" si="29"/>
        <v>2001</v>
      </c>
      <c r="Z26" s="78">
        <f t="shared" si="21"/>
        <v>5</v>
      </c>
      <c r="AA26" s="78">
        <f t="shared" si="8"/>
        <v>0</v>
      </c>
      <c r="AB26" s="80">
        <v>-3.7462753649726219E-2</v>
      </c>
      <c r="AC26" s="81">
        <f t="shared" si="9"/>
        <v>182325.9375</v>
      </c>
      <c r="AD26" s="78">
        <f t="shared" si="10"/>
        <v>697890.20183354686</v>
      </c>
      <c r="AE26" s="78">
        <f t="shared" si="22"/>
        <v>847240.81894718111</v>
      </c>
      <c r="AF26" s="78">
        <f t="shared" si="30"/>
        <v>0</v>
      </c>
      <c r="AG26" s="82">
        <v>7.4999999999999997E-2</v>
      </c>
      <c r="AH26" s="81">
        <f t="shared" si="12"/>
        <v>182325.9375</v>
      </c>
      <c r="AI26" s="78">
        <f t="shared" si="13"/>
        <v>697890.20183354686</v>
      </c>
      <c r="AJ26" s="81">
        <f t="shared" si="23"/>
        <v>946232.34978356282</v>
      </c>
      <c r="AK26" s="81">
        <f t="shared" si="14"/>
        <v>0</v>
      </c>
      <c r="AL26" s="80">
        <f t="shared" si="24"/>
        <v>0.5</v>
      </c>
      <c r="AM26" s="80">
        <f t="shared" si="25"/>
        <v>0.5</v>
      </c>
      <c r="AN26" s="80">
        <f t="shared" si="26"/>
        <v>0.4724022827432543</v>
      </c>
      <c r="AO26" s="83">
        <f t="shared" si="27"/>
        <v>0.52759771725674576</v>
      </c>
      <c r="AP26" s="3"/>
    </row>
    <row r="27" spans="1:49">
      <c r="A27" s="171">
        <v>1981</v>
      </c>
      <c r="B27" s="129">
        <v>0.14157141874397378</v>
      </c>
      <c r="C27" s="152"/>
      <c r="D27" s="147"/>
      <c r="E27" s="9"/>
      <c r="H27" s="63">
        <f t="shared" si="28"/>
        <v>2002</v>
      </c>
      <c r="I27" s="63">
        <f t="shared" si="1"/>
        <v>6</v>
      </c>
      <c r="J27" s="65">
        <v>-0.12124173116001562</v>
      </c>
      <c r="K27" s="66">
        <f t="shared" si="2"/>
        <v>191442.234375</v>
      </c>
      <c r="L27" s="63">
        <f t="shared" si="15"/>
        <v>744569.91066848196</v>
      </c>
      <c r="M27" s="63">
        <f t="shared" si="16"/>
        <v>822528.41219161067</v>
      </c>
      <c r="N27" s="63">
        <f t="shared" si="3"/>
        <v>0</v>
      </c>
      <c r="O27" s="67">
        <v>4.2500000000000003E-2</v>
      </c>
      <c r="P27" s="66">
        <f t="shared" si="4"/>
        <v>191442.234375</v>
      </c>
      <c r="Q27" s="63">
        <f t="shared" si="17"/>
        <v>1060899.3165093749</v>
      </c>
      <c r="R27" s="66">
        <f t="shared" si="18"/>
        <v>1305566.0667969608</v>
      </c>
      <c r="S27" s="66">
        <f t="shared" si="5"/>
        <v>0</v>
      </c>
      <c r="T27" s="65">
        <f t="shared" si="19"/>
        <v>0.42772434217797456</v>
      </c>
      <c r="U27" s="65">
        <f t="shared" si="20"/>
        <v>0.57227565782202539</v>
      </c>
      <c r="V27" s="65">
        <f t="shared" si="6"/>
        <v>0.38650934923835584</v>
      </c>
      <c r="W27" s="68">
        <f t="shared" si="7"/>
        <v>0.61349065076164411</v>
      </c>
      <c r="X27" s="3"/>
      <c r="Y27" s="78">
        <f t="shared" si="29"/>
        <v>2002</v>
      </c>
      <c r="Z27" s="78">
        <f t="shared" si="21"/>
        <v>6</v>
      </c>
      <c r="AA27" s="78">
        <f t="shared" si="8"/>
        <v>1</v>
      </c>
      <c r="AB27" s="80">
        <v>-0.12124173116001562</v>
      </c>
      <c r="AC27" s="81">
        <f t="shared" si="9"/>
        <v>191442.234375</v>
      </c>
      <c r="AD27" s="78">
        <f t="shared" si="10"/>
        <v>847240.81894718111</v>
      </c>
      <c r="AE27" s="78">
        <f t="shared" si="22"/>
        <v>912751.3218108291</v>
      </c>
      <c r="AF27" s="78">
        <f t="shared" si="30"/>
        <v>0</v>
      </c>
      <c r="AG27" s="82">
        <v>4.2500000000000003E-2</v>
      </c>
      <c r="AH27" s="81">
        <f t="shared" si="12"/>
        <v>191442.234375</v>
      </c>
      <c r="AI27" s="78">
        <f t="shared" si="13"/>
        <v>946232.34978356282</v>
      </c>
      <c r="AJ27" s="81">
        <f t="shared" si="23"/>
        <v>1186025.7539853018</v>
      </c>
      <c r="AK27" s="81">
        <f t="shared" si="14"/>
        <v>0</v>
      </c>
      <c r="AL27" s="80">
        <f t="shared" si="24"/>
        <v>0.47725752212513883</v>
      </c>
      <c r="AM27" s="80">
        <f t="shared" si="25"/>
        <v>0.52274247787486106</v>
      </c>
      <c r="AN27" s="80">
        <f t="shared" si="26"/>
        <v>0.43489674646107629</v>
      </c>
      <c r="AO27" s="83">
        <f t="shared" si="27"/>
        <v>0.56510325353892366</v>
      </c>
      <c r="AP27" s="3"/>
    </row>
    <row r="28" spans="1:49">
      <c r="A28" s="171">
        <v>1982</v>
      </c>
      <c r="B28" s="129">
        <v>0.17899346576135364</v>
      </c>
      <c r="C28" s="152"/>
      <c r="D28" s="147"/>
      <c r="E28" s="9"/>
      <c r="H28" s="63">
        <f t="shared" si="28"/>
        <v>2003</v>
      </c>
      <c r="I28" s="63">
        <f t="shared" si="1"/>
        <v>7</v>
      </c>
      <c r="J28" s="65">
        <v>0.8337531816631244</v>
      </c>
      <c r="K28" s="66">
        <f t="shared" si="2"/>
        <v>201014.34609375001</v>
      </c>
      <c r="L28" s="63">
        <f t="shared" si="15"/>
        <v>822528.41219161067</v>
      </c>
      <c r="M28" s="63">
        <f t="shared" si="16"/>
        <v>1876924.7895740303</v>
      </c>
      <c r="N28" s="63">
        <f t="shared" si="3"/>
        <v>0</v>
      </c>
      <c r="O28" s="67">
        <v>0.04</v>
      </c>
      <c r="P28" s="66">
        <f t="shared" si="4"/>
        <v>201014.34609375001</v>
      </c>
      <c r="Q28" s="63">
        <f t="shared" si="17"/>
        <v>1305566.0667969608</v>
      </c>
      <c r="R28" s="66">
        <f t="shared" si="18"/>
        <v>1566843.6294063393</v>
      </c>
      <c r="S28" s="66">
        <f t="shared" si="5"/>
        <v>0</v>
      </c>
      <c r="T28" s="65">
        <f t="shared" si="19"/>
        <v>0.4045426601937287</v>
      </c>
      <c r="U28" s="65">
        <f t="shared" si="20"/>
        <v>0.59545733980627136</v>
      </c>
      <c r="V28" s="65">
        <f t="shared" si="6"/>
        <v>0.54502061730670903</v>
      </c>
      <c r="W28" s="68">
        <f t="shared" si="7"/>
        <v>0.45497938269329102</v>
      </c>
      <c r="X28" s="3"/>
      <c r="Y28" s="78">
        <f t="shared" si="29"/>
        <v>2003</v>
      </c>
      <c r="Z28" s="78">
        <f t="shared" si="21"/>
        <v>7</v>
      </c>
      <c r="AA28" s="78">
        <f t="shared" si="8"/>
        <v>0</v>
      </c>
      <c r="AB28" s="80">
        <v>0.8337531816631244</v>
      </c>
      <c r="AC28" s="81">
        <f t="shared" si="9"/>
        <v>201014.34609375001</v>
      </c>
      <c r="AD28" s="78">
        <f t="shared" si="10"/>
        <v>1049388.5378980655</v>
      </c>
      <c r="AE28" s="78">
        <f t="shared" si="22"/>
        <v>2292930.2668807385</v>
      </c>
      <c r="AF28" s="78">
        <f t="shared" si="30"/>
        <v>0</v>
      </c>
      <c r="AG28" s="82">
        <v>0.04</v>
      </c>
      <c r="AH28" s="81">
        <f t="shared" si="12"/>
        <v>201014.34609375001</v>
      </c>
      <c r="AI28" s="78">
        <f t="shared" si="13"/>
        <v>1049388.5378980655</v>
      </c>
      <c r="AJ28" s="81">
        <f t="shared" si="23"/>
        <v>1300418.9993514882</v>
      </c>
      <c r="AK28" s="81">
        <f t="shared" si="14"/>
        <v>0</v>
      </c>
      <c r="AL28" s="80">
        <f t="shared" si="24"/>
        <v>0.5</v>
      </c>
      <c r="AM28" s="80">
        <f t="shared" si="25"/>
        <v>0.5</v>
      </c>
      <c r="AN28" s="80">
        <f t="shared" si="26"/>
        <v>0.63810392394307092</v>
      </c>
      <c r="AO28" s="83">
        <f t="shared" si="27"/>
        <v>0.36189607605692903</v>
      </c>
      <c r="AP28" s="3"/>
    </row>
    <row r="29" spans="1:49">
      <c r="A29" s="171">
        <v>1983</v>
      </c>
      <c r="B29" s="129">
        <v>0.16317627538437876</v>
      </c>
      <c r="C29" s="152"/>
      <c r="D29" s="147"/>
      <c r="E29" s="9"/>
      <c r="H29" s="63">
        <f t="shared" si="28"/>
        <v>2004</v>
      </c>
      <c r="I29" s="63">
        <f t="shared" si="1"/>
        <v>8</v>
      </c>
      <c r="J29" s="65">
        <v>0.16138160483669003</v>
      </c>
      <c r="K29" s="66">
        <f t="shared" si="2"/>
        <v>211065.06339843752</v>
      </c>
      <c r="L29" s="63">
        <f t="shared" si="15"/>
        <v>1876924.7895740303</v>
      </c>
      <c r="M29" s="63">
        <f t="shared" si="16"/>
        <v>2424953.0063278894</v>
      </c>
      <c r="N29" s="63">
        <f t="shared" si="3"/>
        <v>0</v>
      </c>
      <c r="O29" s="67">
        <v>5.2499999999999998E-2</v>
      </c>
      <c r="P29" s="66">
        <f t="shared" si="4"/>
        <v>211065.06339843752</v>
      </c>
      <c r="Q29" s="63">
        <f t="shared" si="17"/>
        <v>1566843.6294063393</v>
      </c>
      <c r="R29" s="66">
        <f t="shared" si="18"/>
        <v>1871248.8991770276</v>
      </c>
      <c r="S29" s="66">
        <f t="shared" si="5"/>
        <v>0</v>
      </c>
      <c r="T29" s="65">
        <f t="shared" si="19"/>
        <v>0.54010466861661377</v>
      </c>
      <c r="U29" s="65">
        <f t="shared" si="20"/>
        <v>0.45989533138338623</v>
      </c>
      <c r="V29" s="65">
        <f t="shared" si="6"/>
        <v>0.56444111791410179</v>
      </c>
      <c r="W29" s="68">
        <f t="shared" si="7"/>
        <v>0.43555888208589832</v>
      </c>
      <c r="X29" s="3"/>
      <c r="Y29" s="78">
        <f t="shared" si="29"/>
        <v>2004</v>
      </c>
      <c r="Z29" s="78">
        <f t="shared" si="21"/>
        <v>8</v>
      </c>
      <c r="AA29" s="78">
        <f t="shared" si="8"/>
        <v>0</v>
      </c>
      <c r="AB29" s="80">
        <v>0.16138160483669003</v>
      </c>
      <c r="AC29" s="81">
        <f t="shared" si="9"/>
        <v>211065.06339843752</v>
      </c>
      <c r="AD29" s="78">
        <f t="shared" si="10"/>
        <v>1796674.6331161135</v>
      </c>
      <c r="AE29" s="78">
        <f t="shared" si="22"/>
        <v>2331751.9508323981</v>
      </c>
      <c r="AF29" s="78">
        <f t="shared" si="30"/>
        <v>0</v>
      </c>
      <c r="AG29" s="82">
        <v>5.2499999999999998E-2</v>
      </c>
      <c r="AH29" s="81">
        <f t="shared" si="12"/>
        <v>211065.06339843752</v>
      </c>
      <c r="AI29" s="78">
        <f t="shared" si="13"/>
        <v>1796674.6331161135</v>
      </c>
      <c r="AJ29" s="81">
        <f t="shared" si="23"/>
        <v>2113146.0305815651</v>
      </c>
      <c r="AK29" s="81">
        <f t="shared" si="14"/>
        <v>0</v>
      </c>
      <c r="AL29" s="80">
        <f t="shared" si="24"/>
        <v>0.5</v>
      </c>
      <c r="AM29" s="80">
        <f t="shared" si="25"/>
        <v>0.5</v>
      </c>
      <c r="AN29" s="80">
        <f t="shared" si="26"/>
        <v>0.52459065665454174</v>
      </c>
      <c r="AO29" s="83">
        <f t="shared" si="27"/>
        <v>0.47540934334545826</v>
      </c>
      <c r="AP29" s="3"/>
    </row>
    <row r="30" spans="1:49">
      <c r="A30" s="171">
        <v>1984</v>
      </c>
      <c r="B30" s="129">
        <v>0.19791132095686068</v>
      </c>
      <c r="C30" s="152"/>
      <c r="D30" s="147"/>
      <c r="E30" s="9"/>
      <c r="H30" s="63">
        <f t="shared" si="28"/>
        <v>2005</v>
      </c>
      <c r="I30" s="63">
        <f t="shared" si="1"/>
        <v>9</v>
      </c>
      <c r="J30" s="65">
        <v>0.737303667743754</v>
      </c>
      <c r="K30" s="66">
        <f t="shared" si="2"/>
        <v>221618.31656835941</v>
      </c>
      <c r="L30" s="63">
        <f t="shared" si="15"/>
        <v>2424953.0063278894</v>
      </c>
      <c r="M30" s="63">
        <f t="shared" si="16"/>
        <v>4597898.0662130918</v>
      </c>
      <c r="N30" s="63">
        <f t="shared" si="3"/>
        <v>0</v>
      </c>
      <c r="O30" s="67">
        <v>0.06</v>
      </c>
      <c r="P30" s="66">
        <f t="shared" si="4"/>
        <v>221618.31656835941</v>
      </c>
      <c r="Q30" s="63">
        <f t="shared" si="17"/>
        <v>1871248.8991770276</v>
      </c>
      <c r="R30" s="66">
        <f t="shared" si="18"/>
        <v>2218439.2486901106</v>
      </c>
      <c r="S30" s="66">
        <f t="shared" si="5"/>
        <v>0</v>
      </c>
      <c r="T30" s="65">
        <f t="shared" si="19"/>
        <v>0.55841452554309934</v>
      </c>
      <c r="U30" s="65">
        <f t="shared" si="20"/>
        <v>0.44158547445690083</v>
      </c>
      <c r="V30" s="65">
        <f t="shared" si="6"/>
        <v>0.67454086466059604</v>
      </c>
      <c r="W30" s="68">
        <f t="shared" si="7"/>
        <v>0.32545913533940396</v>
      </c>
      <c r="X30" s="3"/>
      <c r="Y30" s="78">
        <f t="shared" si="29"/>
        <v>2005</v>
      </c>
      <c r="Z30" s="78">
        <f t="shared" si="21"/>
        <v>9</v>
      </c>
      <c r="AA30" s="78">
        <f t="shared" si="8"/>
        <v>1</v>
      </c>
      <c r="AB30" s="80">
        <v>0.737303667743754</v>
      </c>
      <c r="AC30" s="81">
        <f t="shared" si="9"/>
        <v>221618.31656835941</v>
      </c>
      <c r="AD30" s="78">
        <f t="shared" si="10"/>
        <v>2331751.9508323981</v>
      </c>
      <c r="AE30" s="78">
        <f t="shared" si="22"/>
        <v>4435979.5306631858</v>
      </c>
      <c r="AF30" s="78">
        <f t="shared" si="30"/>
        <v>0</v>
      </c>
      <c r="AG30" s="82">
        <v>0.06</v>
      </c>
      <c r="AH30" s="81">
        <f t="shared" si="12"/>
        <v>221618.31656835941</v>
      </c>
      <c r="AI30" s="78">
        <f t="shared" si="13"/>
        <v>2113146.0305815651</v>
      </c>
      <c r="AJ30" s="81">
        <f t="shared" si="23"/>
        <v>2474850.2079789201</v>
      </c>
      <c r="AK30" s="81">
        <f t="shared" si="14"/>
        <v>0</v>
      </c>
      <c r="AL30" s="80">
        <f t="shared" si="24"/>
        <v>0.52236087357333627</v>
      </c>
      <c r="AM30" s="80">
        <f t="shared" si="25"/>
        <v>0.47763912642666373</v>
      </c>
      <c r="AN30" s="80">
        <f t="shared" si="26"/>
        <v>0.64188812319586996</v>
      </c>
      <c r="AO30" s="83">
        <f t="shared" si="27"/>
        <v>0.35811187680413004</v>
      </c>
      <c r="AP30" s="3"/>
    </row>
    <row r="31" spans="1:49">
      <c r="A31" s="171">
        <v>1985</v>
      </c>
      <c r="B31" s="129">
        <v>0.16402357745249538</v>
      </c>
      <c r="C31" s="152"/>
      <c r="D31" s="147"/>
      <c r="E31" s="9"/>
      <c r="H31" s="63">
        <f t="shared" si="28"/>
        <v>2006</v>
      </c>
      <c r="I31" s="63">
        <f t="shared" si="1"/>
        <v>10</v>
      </c>
      <c r="J31" s="65">
        <v>0.15887411347517733</v>
      </c>
      <c r="K31" s="66">
        <f t="shared" si="2"/>
        <v>232699.2323967774</v>
      </c>
      <c r="L31" s="63">
        <f t="shared" si="15"/>
        <v>4597898.0662130918</v>
      </c>
      <c r="M31" s="63">
        <f t="shared" si="16"/>
        <v>5598054.1619820986</v>
      </c>
      <c r="N31" s="63">
        <f t="shared" si="3"/>
        <v>0</v>
      </c>
      <c r="O31" s="67">
        <v>6.25E-2</v>
      </c>
      <c r="P31" s="66">
        <f t="shared" si="4"/>
        <v>232699.2323967774</v>
      </c>
      <c r="Q31" s="63">
        <f t="shared" si="17"/>
        <v>2218439.2486901106</v>
      </c>
      <c r="R31" s="66">
        <f t="shared" si="18"/>
        <v>2604334.6361548183</v>
      </c>
      <c r="S31" s="66">
        <f t="shared" si="5"/>
        <v>0</v>
      </c>
      <c r="T31" s="65">
        <f t="shared" si="19"/>
        <v>0.66338541314266641</v>
      </c>
      <c r="U31" s="65">
        <f t="shared" si="20"/>
        <v>0.33661458685733359</v>
      </c>
      <c r="V31" s="65">
        <f t="shared" si="6"/>
        <v>0.68249071090773406</v>
      </c>
      <c r="W31" s="68">
        <f t="shared" si="7"/>
        <v>0.31750928909226594</v>
      </c>
      <c r="X31" s="3"/>
      <c r="Y31" s="78">
        <f t="shared" si="29"/>
        <v>2006</v>
      </c>
      <c r="Z31" s="78">
        <f t="shared" si="21"/>
        <v>10</v>
      </c>
      <c r="AA31" s="78">
        <f t="shared" si="8"/>
        <v>0</v>
      </c>
      <c r="AB31" s="80">
        <v>0.15887411347517733</v>
      </c>
      <c r="AC31" s="81">
        <f t="shared" si="9"/>
        <v>232699.2323967774</v>
      </c>
      <c r="AD31" s="78">
        <f t="shared" si="10"/>
        <v>3455414.8693210529</v>
      </c>
      <c r="AE31" s="78">
        <f t="shared" si="22"/>
        <v>4274059.9600235503</v>
      </c>
      <c r="AF31" s="78">
        <f t="shared" si="30"/>
        <v>0</v>
      </c>
      <c r="AG31" s="82">
        <v>6.25E-2</v>
      </c>
      <c r="AH31" s="81">
        <f t="shared" si="12"/>
        <v>232699.2323967774</v>
      </c>
      <c r="AI31" s="78">
        <f t="shared" si="13"/>
        <v>3455414.8693210529</v>
      </c>
      <c r="AJ31" s="81">
        <f t="shared" si="23"/>
        <v>3918621.2330751945</v>
      </c>
      <c r="AK31" s="81">
        <f t="shared" si="14"/>
        <v>0</v>
      </c>
      <c r="AL31" s="80">
        <f t="shared" si="24"/>
        <v>0.5</v>
      </c>
      <c r="AM31" s="80">
        <f t="shared" si="25"/>
        <v>0.5</v>
      </c>
      <c r="AN31" s="80">
        <f t="shared" si="26"/>
        <v>0.52169245443407264</v>
      </c>
      <c r="AO31" s="83">
        <f t="shared" si="27"/>
        <v>0.47830754556592747</v>
      </c>
      <c r="AP31" s="3"/>
    </row>
    <row r="32" spans="1:49">
      <c r="A32" s="171">
        <v>1986</v>
      </c>
      <c r="B32" s="129">
        <v>0.21476991848029001</v>
      </c>
      <c r="C32" s="152"/>
      <c r="D32" s="147"/>
      <c r="E32" s="9"/>
      <c r="H32" s="63">
        <f t="shared" si="28"/>
        <v>2007</v>
      </c>
      <c r="I32" s="63">
        <f t="shared" si="1"/>
        <v>11</v>
      </c>
      <c r="J32" s="65">
        <v>0.19677787042632777</v>
      </c>
      <c r="K32" s="66">
        <f t="shared" si="2"/>
        <v>244334.19401661627</v>
      </c>
      <c r="L32" s="63">
        <f t="shared" si="15"/>
        <v>5598054.1619820986</v>
      </c>
      <c r="M32" s="63">
        <f t="shared" si="16"/>
        <v>6992041.0948957158</v>
      </c>
      <c r="N32" s="63">
        <f t="shared" si="3"/>
        <v>0</v>
      </c>
      <c r="O32" s="69">
        <v>7.0000000000000007E-2</v>
      </c>
      <c r="P32" s="66">
        <f t="shared" si="4"/>
        <v>244334.19401661627</v>
      </c>
      <c r="Q32" s="63">
        <f t="shared" si="17"/>
        <v>2604334.6361548183</v>
      </c>
      <c r="R32" s="66">
        <f t="shared" si="18"/>
        <v>3048075.6482834355</v>
      </c>
      <c r="S32" s="66">
        <f t="shared" si="5"/>
        <v>0</v>
      </c>
      <c r="T32" s="65">
        <f t="shared" si="19"/>
        <v>0.67222988306825926</v>
      </c>
      <c r="U32" s="65">
        <f t="shared" si="20"/>
        <v>0.32777011693174063</v>
      </c>
      <c r="V32" s="65">
        <f t="shared" si="6"/>
        <v>0.69641033802179886</v>
      </c>
      <c r="W32" s="68">
        <f t="shared" si="7"/>
        <v>0.30358966197820103</v>
      </c>
      <c r="X32" s="3"/>
      <c r="Y32" s="78">
        <f t="shared" si="29"/>
        <v>2007</v>
      </c>
      <c r="Z32" s="78">
        <f t="shared" si="21"/>
        <v>11</v>
      </c>
      <c r="AA32" s="78">
        <f t="shared" si="8"/>
        <v>1</v>
      </c>
      <c r="AB32" s="80">
        <v>0.19677787042632777</v>
      </c>
      <c r="AC32" s="81">
        <f t="shared" si="9"/>
        <v>244334.19401661627</v>
      </c>
      <c r="AD32" s="78">
        <f t="shared" si="10"/>
        <v>4274059.9600235503</v>
      </c>
      <c r="AE32" s="78">
        <f t="shared" si="22"/>
        <v>5407514.1334189596</v>
      </c>
      <c r="AF32" s="78">
        <f t="shared" si="30"/>
        <v>0</v>
      </c>
      <c r="AG32" s="84">
        <v>7.0000000000000007E-2</v>
      </c>
      <c r="AH32" s="81">
        <f t="shared" si="12"/>
        <v>244334.19401661627</v>
      </c>
      <c r="AI32" s="78">
        <f t="shared" si="13"/>
        <v>3918621.2330751945</v>
      </c>
      <c r="AJ32" s="81">
        <f t="shared" si="23"/>
        <v>4454362.3069882374</v>
      </c>
      <c r="AK32" s="81">
        <f t="shared" si="14"/>
        <v>0</v>
      </c>
      <c r="AL32" s="80">
        <f t="shared" si="24"/>
        <v>0.52047139811768817</v>
      </c>
      <c r="AM32" s="80">
        <f t="shared" si="25"/>
        <v>0.47952860188231194</v>
      </c>
      <c r="AN32" s="80">
        <f t="shared" si="26"/>
        <v>0.5483250744516206</v>
      </c>
      <c r="AO32" s="83">
        <f t="shared" si="27"/>
        <v>0.45167492554837935</v>
      </c>
      <c r="AP32" s="3"/>
    </row>
    <row r="33" spans="1:42">
      <c r="A33" s="171">
        <v>1987</v>
      </c>
      <c r="B33" s="129">
        <v>0.18498562748274727</v>
      </c>
      <c r="C33" s="152"/>
      <c r="D33" s="147"/>
      <c r="E33" s="9"/>
      <c r="H33" s="63">
        <f t="shared" si="28"/>
        <v>2008</v>
      </c>
      <c r="I33" s="63">
        <f t="shared" si="1"/>
        <v>12</v>
      </c>
      <c r="J33" s="65">
        <v>-0.37942650405256834</v>
      </c>
      <c r="K33" s="66">
        <f t="shared" si="2"/>
        <v>256550.9037174471</v>
      </c>
      <c r="L33" s="63">
        <f t="shared" si="15"/>
        <v>6992041.0948957158</v>
      </c>
      <c r="M33" s="63">
        <f t="shared" si="16"/>
        <v>4498284.0772759505</v>
      </c>
      <c r="N33" s="63">
        <f t="shared" si="3"/>
        <v>0</v>
      </c>
      <c r="O33" s="69">
        <v>0.08</v>
      </c>
      <c r="P33" s="66">
        <f t="shared" si="4"/>
        <v>256550.9037174471</v>
      </c>
      <c r="Q33" s="63">
        <f t="shared" si="17"/>
        <v>3048075.6482834355</v>
      </c>
      <c r="R33" s="66">
        <f t="shared" si="18"/>
        <v>3568996.6761609535</v>
      </c>
      <c r="S33" s="66">
        <f t="shared" si="5"/>
        <v>0</v>
      </c>
      <c r="T33" s="65">
        <f t="shared" si="19"/>
        <v>0.68686078695787067</v>
      </c>
      <c r="U33" s="65">
        <f t="shared" si="20"/>
        <v>0.31313921304212927</v>
      </c>
      <c r="V33" s="65">
        <f t="shared" si="6"/>
        <v>0.55759607416161217</v>
      </c>
      <c r="W33" s="68">
        <f t="shared" si="7"/>
        <v>0.44240392583838778</v>
      </c>
      <c r="X33" s="3"/>
      <c r="Y33" s="78">
        <f t="shared" si="29"/>
        <v>2008</v>
      </c>
      <c r="Z33" s="78">
        <f t="shared" si="21"/>
        <v>12</v>
      </c>
      <c r="AA33" s="78">
        <f t="shared" si="8"/>
        <v>1</v>
      </c>
      <c r="AB33" s="80">
        <v>-0.37942650405256834</v>
      </c>
      <c r="AC33" s="81">
        <f t="shared" si="9"/>
        <v>256550.9037174471</v>
      </c>
      <c r="AD33" s="78">
        <f t="shared" si="10"/>
        <v>5407514.1334189596</v>
      </c>
      <c r="AE33" s="78">
        <f t="shared" si="22"/>
        <v>3514968.6413693591</v>
      </c>
      <c r="AF33" s="78">
        <f t="shared" si="30"/>
        <v>0</v>
      </c>
      <c r="AG33" s="84">
        <v>0.08</v>
      </c>
      <c r="AH33" s="81">
        <f t="shared" si="12"/>
        <v>256550.9037174471</v>
      </c>
      <c r="AI33" s="78">
        <f t="shared" si="13"/>
        <v>4454362.3069882374</v>
      </c>
      <c r="AJ33" s="81">
        <f t="shared" si="23"/>
        <v>5087786.2675621398</v>
      </c>
      <c r="AK33" s="81">
        <f t="shared" si="14"/>
        <v>0</v>
      </c>
      <c r="AL33" s="80">
        <f t="shared" si="24"/>
        <v>0.54593512408707789</v>
      </c>
      <c r="AM33" s="80">
        <f t="shared" si="25"/>
        <v>0.45406487591292199</v>
      </c>
      <c r="AN33" s="80">
        <f t="shared" si="26"/>
        <v>0.40858639802931851</v>
      </c>
      <c r="AO33" s="83">
        <f t="shared" si="27"/>
        <v>0.59141360197068149</v>
      </c>
      <c r="AP33" s="3"/>
    </row>
    <row r="34" spans="1:42">
      <c r="A34" s="171">
        <v>1988</v>
      </c>
      <c r="B34" s="129">
        <v>0.15145113356967915</v>
      </c>
      <c r="C34" s="152"/>
      <c r="D34" s="147"/>
      <c r="E34" s="9"/>
      <c r="H34" s="63">
        <f t="shared" si="28"/>
        <v>2009</v>
      </c>
      <c r="I34" s="63">
        <f t="shared" si="1"/>
        <v>13</v>
      </c>
      <c r="J34" s="65">
        <v>0.80532523046814641</v>
      </c>
      <c r="K34" s="66">
        <f t="shared" si="2"/>
        <v>269378.44890331948</v>
      </c>
      <c r="L34" s="63">
        <f t="shared" si="15"/>
        <v>4498284.0772759505</v>
      </c>
      <c r="M34" s="63">
        <f t="shared" si="16"/>
        <v>8607181.4488689359</v>
      </c>
      <c r="N34" s="63">
        <f t="shared" si="3"/>
        <v>0</v>
      </c>
      <c r="O34" s="69">
        <v>0.09</v>
      </c>
      <c r="P34" s="66">
        <f t="shared" si="4"/>
        <v>269378.44890331948</v>
      </c>
      <c r="Q34" s="63">
        <f t="shared" si="17"/>
        <v>3568996.6761609535</v>
      </c>
      <c r="R34" s="66">
        <f t="shared" si="18"/>
        <v>4183828.8863200578</v>
      </c>
      <c r="S34" s="66">
        <f t="shared" si="5"/>
        <v>0</v>
      </c>
      <c r="T34" s="65">
        <f t="shared" si="19"/>
        <v>0.55399043315716368</v>
      </c>
      <c r="U34" s="65">
        <f t="shared" si="20"/>
        <v>0.44600956684283627</v>
      </c>
      <c r="V34" s="65">
        <f t="shared" si="6"/>
        <v>0.67290864625368629</v>
      </c>
      <c r="W34" s="68">
        <f t="shared" si="7"/>
        <v>0.32709135374631371</v>
      </c>
      <c r="X34" s="3"/>
      <c r="Y34" s="78">
        <f t="shared" si="29"/>
        <v>2009</v>
      </c>
      <c r="Z34" s="78">
        <f t="shared" si="21"/>
        <v>13</v>
      </c>
      <c r="AA34" s="78">
        <f t="shared" si="8"/>
        <v>0</v>
      </c>
      <c r="AB34" s="80">
        <v>0.80532523046814641</v>
      </c>
      <c r="AC34" s="81">
        <f t="shared" si="9"/>
        <v>269378.44890331948</v>
      </c>
      <c r="AD34" s="78">
        <f t="shared" si="10"/>
        <v>4301377.4544657497</v>
      </c>
      <c r="AE34" s="78">
        <f t="shared" si="22"/>
        <v>8251700.9546634052</v>
      </c>
      <c r="AF34" s="78">
        <f t="shared" si="30"/>
        <v>0</v>
      </c>
      <c r="AG34" s="84">
        <v>0.09</v>
      </c>
      <c r="AH34" s="81">
        <f t="shared" si="12"/>
        <v>269378.44890331948</v>
      </c>
      <c r="AI34" s="78">
        <f t="shared" si="13"/>
        <v>4301377.4544657497</v>
      </c>
      <c r="AJ34" s="81">
        <f t="shared" si="23"/>
        <v>4982123.9346722858</v>
      </c>
      <c r="AK34" s="81">
        <f t="shared" si="14"/>
        <v>0</v>
      </c>
      <c r="AL34" s="80">
        <f t="shared" si="24"/>
        <v>0.5</v>
      </c>
      <c r="AM34" s="80">
        <f t="shared" si="25"/>
        <v>0.5</v>
      </c>
      <c r="AN34" s="80">
        <f t="shared" si="26"/>
        <v>0.62353106706987882</v>
      </c>
      <c r="AO34" s="83">
        <f t="shared" si="27"/>
        <v>0.37646893293012107</v>
      </c>
      <c r="AP34" s="3"/>
    </row>
    <row r="35" spans="1:42">
      <c r="A35" s="171">
        <v>1989</v>
      </c>
      <c r="B35" s="129">
        <v>0.16971381418143519</v>
      </c>
      <c r="C35" s="152"/>
      <c r="D35" s="147"/>
      <c r="E35" s="9"/>
      <c r="H35" s="63">
        <f t="shared" si="28"/>
        <v>2010</v>
      </c>
      <c r="I35" s="63">
        <f t="shared" si="1"/>
        <v>14</v>
      </c>
      <c r="J35" s="65">
        <v>0.10943116334797741</v>
      </c>
      <c r="K35" s="66">
        <f t="shared" si="2"/>
        <v>282847.37134848547</v>
      </c>
      <c r="L35" s="63">
        <f t="shared" si="15"/>
        <v>8607181.4488689359</v>
      </c>
      <c r="M35" s="63">
        <f t="shared" si="16"/>
        <v>9862875.0162108615</v>
      </c>
      <c r="N35" s="63">
        <f t="shared" si="3"/>
        <v>0</v>
      </c>
      <c r="O35" s="69">
        <v>0.1</v>
      </c>
      <c r="P35" s="66">
        <f t="shared" si="4"/>
        <v>282847.37134848547</v>
      </c>
      <c r="Q35" s="63">
        <f t="shared" si="17"/>
        <v>4183828.8863200578</v>
      </c>
      <c r="R35" s="66">
        <f t="shared" si="18"/>
        <v>4913343.8834353983</v>
      </c>
      <c r="S35" s="66">
        <f t="shared" si="5"/>
        <v>0</v>
      </c>
      <c r="T35" s="65">
        <f t="shared" si="19"/>
        <v>0.66558546949847697</v>
      </c>
      <c r="U35" s="65">
        <f t="shared" si="20"/>
        <v>0.33441453050152303</v>
      </c>
      <c r="V35" s="65">
        <f t="shared" si="6"/>
        <v>0.6674830065252334</v>
      </c>
      <c r="W35" s="68">
        <f t="shared" si="7"/>
        <v>0.3325169934747666</v>
      </c>
      <c r="X35" s="3"/>
      <c r="Y35" s="78">
        <f t="shared" si="29"/>
        <v>2010</v>
      </c>
      <c r="Z35" s="78">
        <f t="shared" si="21"/>
        <v>14</v>
      </c>
      <c r="AA35" s="78">
        <f t="shared" si="8"/>
        <v>0</v>
      </c>
      <c r="AB35" s="80">
        <v>0.10943116334797741</v>
      </c>
      <c r="AC35" s="81">
        <f t="shared" si="9"/>
        <v>282847.37134848547</v>
      </c>
      <c r="AD35" s="78">
        <f t="shared" si="10"/>
        <v>6616912.444667846</v>
      </c>
      <c r="AE35" s="78">
        <f t="shared" si="22"/>
        <v>7654808.5595046254</v>
      </c>
      <c r="AF35" s="78">
        <f t="shared" si="30"/>
        <v>0</v>
      </c>
      <c r="AG35" s="84">
        <v>0.1</v>
      </c>
      <c r="AH35" s="81">
        <f t="shared" si="12"/>
        <v>282847.37134848547</v>
      </c>
      <c r="AI35" s="78">
        <f t="shared" si="13"/>
        <v>6616912.444667846</v>
      </c>
      <c r="AJ35" s="81">
        <f t="shared" si="23"/>
        <v>7589735.7976179654</v>
      </c>
      <c r="AK35" s="81">
        <f t="shared" si="14"/>
        <v>0</v>
      </c>
      <c r="AL35" s="80">
        <f t="shared" si="24"/>
        <v>0.5</v>
      </c>
      <c r="AM35" s="80">
        <f t="shared" si="25"/>
        <v>0.5</v>
      </c>
      <c r="AN35" s="80">
        <f t="shared" si="26"/>
        <v>0.50213429671501653</v>
      </c>
      <c r="AO35" s="83">
        <f t="shared" si="27"/>
        <v>0.49786570328498353</v>
      </c>
      <c r="AP35" s="3"/>
    </row>
    <row r="36" spans="1:42">
      <c r="A36" s="171">
        <v>1990</v>
      </c>
      <c r="B36" s="129">
        <v>0.13377395445827087</v>
      </c>
      <c r="C36" s="152"/>
      <c r="D36" s="147"/>
      <c r="E36" s="9"/>
      <c r="H36" s="63">
        <f t="shared" si="28"/>
        <v>2011</v>
      </c>
      <c r="I36" s="63">
        <f t="shared" si="1"/>
        <v>15</v>
      </c>
      <c r="J36" s="65">
        <v>-0.10495242993057337</v>
      </c>
      <c r="K36" s="66">
        <f t="shared" si="2"/>
        <v>296989.73991590977</v>
      </c>
      <c r="L36" s="63">
        <f t="shared" si="15"/>
        <v>9862875.0162108615</v>
      </c>
      <c r="M36" s="63">
        <f t="shared" si="16"/>
        <v>9093562.2622052729</v>
      </c>
      <c r="N36" s="63">
        <f t="shared" si="3"/>
        <v>9093562.2622052729</v>
      </c>
      <c r="O36" s="69">
        <v>0.11</v>
      </c>
      <c r="P36" s="66">
        <f t="shared" si="4"/>
        <v>296989.73991590977</v>
      </c>
      <c r="Q36" s="63">
        <f t="shared" si="17"/>
        <v>4913343.8834353983</v>
      </c>
      <c r="R36" s="66">
        <f t="shared" si="18"/>
        <v>5783470.3219199525</v>
      </c>
      <c r="S36" s="66">
        <f t="shared" si="5"/>
        <v>5783470.3219199525</v>
      </c>
      <c r="T36" s="65">
        <f t="shared" si="19"/>
        <v>0.66101064575015367</v>
      </c>
      <c r="U36" s="65">
        <f t="shared" si="20"/>
        <v>0.33898935424984633</v>
      </c>
      <c r="V36" s="65">
        <f t="shared" si="6"/>
        <v>0.61124839317141133</v>
      </c>
      <c r="W36" s="68">
        <f t="shared" si="7"/>
        <v>0.38875160682858872</v>
      </c>
      <c r="X36" s="3"/>
      <c r="Y36" s="78">
        <f t="shared" si="29"/>
        <v>2011</v>
      </c>
      <c r="Z36" s="78">
        <f t="shared" si="21"/>
        <v>15</v>
      </c>
      <c r="AA36" s="78">
        <f t="shared" si="8"/>
        <v>1</v>
      </c>
      <c r="AB36" s="80">
        <v>-0.10495242993057337</v>
      </c>
      <c r="AC36" s="81">
        <f t="shared" si="9"/>
        <v>296989.73991590977</v>
      </c>
      <c r="AD36" s="78">
        <f t="shared" si="10"/>
        <v>7654808.5595046254</v>
      </c>
      <c r="AE36" s="78">
        <f t="shared" si="22"/>
        <v>7117237.7455785489</v>
      </c>
      <c r="AF36" s="78">
        <f t="shared" si="30"/>
        <v>7117237.7455785489</v>
      </c>
      <c r="AG36" s="84">
        <v>0.11</v>
      </c>
      <c r="AH36" s="81">
        <f t="shared" si="12"/>
        <v>296989.73991590977</v>
      </c>
      <c r="AI36" s="78">
        <f t="shared" si="13"/>
        <v>7589735.7976179654</v>
      </c>
      <c r="AJ36" s="81">
        <f t="shared" si="23"/>
        <v>8754265.3466626033</v>
      </c>
      <c r="AK36" s="81">
        <f t="shared" si="14"/>
        <v>8754265.3466626033</v>
      </c>
      <c r="AL36" s="80">
        <f t="shared" si="24"/>
        <v>0.50205425589393726</v>
      </c>
      <c r="AM36" s="80">
        <f t="shared" si="25"/>
        <v>0.49794574410606268</v>
      </c>
      <c r="AN36" s="80">
        <f t="shared" si="26"/>
        <v>0.4484287155548512</v>
      </c>
      <c r="AO36" s="83">
        <f t="shared" si="27"/>
        <v>0.5515712844451488</v>
      </c>
      <c r="AP36" s="3"/>
    </row>
    <row r="37" spans="1:42">
      <c r="A37" s="171">
        <v>1991</v>
      </c>
      <c r="B37" s="129">
        <v>9.5777341779575351E-2</v>
      </c>
      <c r="C37" s="152"/>
      <c r="D37" s="147"/>
      <c r="E37" s="9"/>
      <c r="H37" t="s">
        <v>16</v>
      </c>
      <c r="K37" s="3"/>
      <c r="P37" s="3"/>
      <c r="Q37" s="3"/>
      <c r="R37" s="3"/>
      <c r="S37" s="3"/>
      <c r="T37" s="3"/>
      <c r="U37" s="3"/>
      <c r="V37" s="3"/>
      <c r="W37" s="3"/>
      <c r="X37" s="3"/>
      <c r="Y37" s="25"/>
      <c r="Z37" s="25"/>
      <c r="AA37" s="25"/>
      <c r="AB37" s="26"/>
      <c r="AC37" s="25"/>
      <c r="AD37" s="25"/>
      <c r="AE37" s="27"/>
      <c r="AF37" s="25"/>
      <c r="AG37" s="26"/>
      <c r="AH37" s="25"/>
      <c r="AI37" s="25"/>
      <c r="AJ37" s="25"/>
      <c r="AK37" s="25"/>
      <c r="AL37" s="25"/>
      <c r="AM37" s="25"/>
      <c r="AN37" s="28"/>
      <c r="AO37" s="28"/>
      <c r="AP37" s="3"/>
    </row>
    <row r="38" spans="1:42">
      <c r="A38" s="171">
        <v>1992</v>
      </c>
      <c r="B38" s="129">
        <v>5.1160249758501537E-2</v>
      </c>
      <c r="C38" s="152"/>
      <c r="D38" s="147"/>
      <c r="E38" s="9"/>
      <c r="H38" t="s">
        <v>17</v>
      </c>
      <c r="J38" s="1"/>
      <c r="K38" s="1"/>
    </row>
    <row r="39" spans="1:42">
      <c r="A39" s="171">
        <v>1993</v>
      </c>
      <c r="B39" s="129">
        <v>2.1449595947348951E-2</v>
      </c>
      <c r="C39" s="152"/>
      <c r="D39" s="147"/>
      <c r="E39" s="9"/>
      <c r="J39" s="1"/>
      <c r="K39" s="1"/>
    </row>
    <row r="40" spans="1:42">
      <c r="A40" s="171">
        <v>1994</v>
      </c>
      <c r="B40" s="129">
        <v>9.0337987469850362E-2</v>
      </c>
      <c r="C40" s="152"/>
      <c r="D40" s="147"/>
      <c r="E40" s="9"/>
      <c r="J40" s="1"/>
      <c r="K40" s="1"/>
    </row>
    <row r="41" spans="1:42">
      <c r="A41" s="171">
        <v>1995</v>
      </c>
      <c r="B41" s="129">
        <v>4.9646605972000796E-2</v>
      </c>
      <c r="C41" s="152"/>
      <c r="D41" s="147"/>
      <c r="E41" s="9"/>
    </row>
    <row r="42" spans="1:42">
      <c r="A42" s="171">
        <v>1996</v>
      </c>
      <c r="B42" s="129">
        <v>3.8664069268066904E-2</v>
      </c>
      <c r="C42" s="152"/>
      <c r="D42" s="147"/>
      <c r="E42" s="9"/>
    </row>
    <row r="43" spans="1:42">
      <c r="A43" s="171">
        <v>1997</v>
      </c>
      <c r="B43" s="129">
        <v>6.6846026080301407E-2</v>
      </c>
      <c r="C43" s="152"/>
      <c r="D43" s="147"/>
      <c r="E43" s="9"/>
    </row>
    <row r="44" spans="1:42">
      <c r="A44" s="172"/>
      <c r="B44" s="130"/>
      <c r="C44" s="152"/>
      <c r="D44" s="147"/>
      <c r="E44" s="173"/>
      <c r="F44" s="1"/>
    </row>
    <row r="45" spans="1:42">
      <c r="A45" s="172"/>
      <c r="B45" s="130"/>
      <c r="C45" s="153"/>
      <c r="D45" s="121"/>
      <c r="E45" s="174"/>
      <c r="F45" s="26"/>
      <c r="G45" s="27"/>
      <c r="H45" s="27"/>
      <c r="I45" s="27"/>
      <c r="J45" s="27"/>
      <c r="K45" s="27"/>
      <c r="L45" s="27"/>
      <c r="M45" s="27"/>
      <c r="N45" s="27"/>
      <c r="O45" s="27"/>
    </row>
    <row r="46" spans="1:42">
      <c r="A46" s="172"/>
      <c r="B46" s="130"/>
      <c r="C46" s="153"/>
      <c r="D46" s="121"/>
      <c r="E46" s="175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42">
      <c r="A47" s="172"/>
      <c r="B47" s="130"/>
      <c r="C47" s="153"/>
      <c r="D47" s="121"/>
      <c r="E47" s="175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42">
      <c r="A48" s="172"/>
      <c r="B48" s="130"/>
      <c r="C48" s="153"/>
      <c r="D48" s="121"/>
      <c r="E48" s="175"/>
      <c r="F48" s="27"/>
      <c r="G48" s="27"/>
      <c r="H48" s="40"/>
      <c r="I48" s="27"/>
      <c r="J48" s="27"/>
      <c r="K48" s="27"/>
      <c r="L48" s="61"/>
      <c r="M48" s="27"/>
      <c r="N48" s="27"/>
      <c r="O48" s="27"/>
    </row>
    <row r="49" spans="1:15">
      <c r="A49" s="176"/>
      <c r="B49" s="165"/>
      <c r="C49" s="27"/>
      <c r="D49" s="27"/>
      <c r="E49" s="177"/>
      <c r="F49" s="27"/>
      <c r="G49" s="27"/>
      <c r="H49" s="42"/>
      <c r="I49" s="27"/>
      <c r="J49" s="27"/>
      <c r="K49" s="27"/>
      <c r="L49" s="27"/>
      <c r="M49" s="27"/>
      <c r="N49" s="27"/>
      <c r="O49" s="27"/>
    </row>
    <row r="50" spans="1:15">
      <c r="A50" s="178"/>
      <c r="B50" s="165"/>
      <c r="C50" s="27"/>
      <c r="D50" s="27"/>
      <c r="E50" s="175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172"/>
      <c r="B51" s="165"/>
      <c r="C51" s="27"/>
      <c r="D51" s="27"/>
      <c r="E51" s="175"/>
      <c r="F51" s="27"/>
      <c r="G51" s="27"/>
      <c r="H51" s="27"/>
      <c r="I51" s="27"/>
      <c r="J51" s="26"/>
      <c r="K51" s="26"/>
      <c r="L51" s="27"/>
      <c r="M51" s="27"/>
      <c r="N51" s="27"/>
      <c r="O51" s="27"/>
    </row>
    <row r="52" spans="1:15">
      <c r="A52" s="172"/>
      <c r="B52" s="165"/>
      <c r="C52" s="27"/>
      <c r="D52" s="27"/>
      <c r="E52" s="175"/>
      <c r="J52" s="1"/>
      <c r="K52" s="1"/>
    </row>
    <row r="53" spans="1:15">
      <c r="A53" s="172"/>
      <c r="B53" s="165"/>
      <c r="C53" s="27"/>
      <c r="D53" s="27"/>
      <c r="E53" s="175"/>
      <c r="J53" s="1"/>
      <c r="K53" s="1"/>
    </row>
    <row r="54" spans="1:15">
      <c r="A54" s="172"/>
      <c r="B54" s="165"/>
      <c r="C54" s="27"/>
      <c r="D54" s="27"/>
      <c r="E54" s="175"/>
      <c r="J54" s="1"/>
      <c r="K54" s="1"/>
    </row>
    <row r="55" spans="1:15">
      <c r="A55" s="172"/>
      <c r="B55" s="165"/>
      <c r="C55" s="27"/>
      <c r="D55" s="27"/>
      <c r="E55" s="175"/>
    </row>
    <row r="56" spans="1:15">
      <c r="A56" s="172"/>
      <c r="B56" s="165"/>
      <c r="C56" s="27"/>
      <c r="D56" s="27"/>
      <c r="E56" s="175"/>
    </row>
    <row r="57" spans="1:15" ht="15" thickBot="1">
      <c r="A57" s="179"/>
      <c r="B57" s="180"/>
      <c r="C57" s="181"/>
      <c r="D57" s="181"/>
      <c r="E57" s="182"/>
    </row>
  </sheetData>
  <mergeCells count="14">
    <mergeCell ref="A19:C19"/>
    <mergeCell ref="A20:C20"/>
    <mergeCell ref="A21:C21"/>
    <mergeCell ref="A18:C18"/>
    <mergeCell ref="A10:B10"/>
    <mergeCell ref="D10:E10"/>
    <mergeCell ref="H1:U1"/>
    <mergeCell ref="Y1:AO1"/>
    <mergeCell ref="T2:W2"/>
    <mergeCell ref="AL2:AO2"/>
    <mergeCell ref="T4:U4"/>
    <mergeCell ref="V4:W4"/>
    <mergeCell ref="AL4:AM4"/>
    <mergeCell ref="AN4:AO4"/>
  </mergeCells>
  <conditionalFormatting sqref="Y5:AO36">
    <cfRule type="cellIs" dxfId="4" priority="2" operator="equal">
      <formula>0</formula>
    </cfRule>
  </conditionalFormatting>
  <conditionalFormatting sqref="K5:N36 P5:W36">
    <cfRule type="cellIs" dxfId="3" priority="1" operator="equal">
      <formula>0</formula>
    </cfRule>
  </conditionalFormatting>
  <dataValidations disablePrompts="1" count="1">
    <dataValidation type="list" allowBlank="1" showInputMessage="1" showErrorMessage="1" sqref="AX1">
      <formula1>$AW$1:$AW$17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64"/>
  <sheetViews>
    <sheetView workbookViewId="0">
      <selection activeCell="D2" sqref="D2"/>
    </sheetView>
  </sheetViews>
  <sheetFormatPr defaultRowHeight="14.4"/>
  <cols>
    <col min="1" max="1" width="17" customWidth="1"/>
    <col min="2" max="2" width="16.88671875" bestFit="1" customWidth="1"/>
    <col min="3" max="3" width="16.6640625" customWidth="1"/>
    <col min="4" max="4" width="12.109375" bestFit="1" customWidth="1"/>
    <col min="5" max="5" width="7.5546875" customWidth="1"/>
    <col min="6" max="6" width="6.109375" customWidth="1"/>
    <col min="7" max="7" width="14.109375" customWidth="1"/>
    <col min="8" max="8" width="7.88671875" customWidth="1"/>
    <col min="9" max="9" width="4.6640625" bestFit="1" customWidth="1"/>
    <col min="10" max="10" width="6.77734375" bestFit="1" customWidth="1"/>
    <col min="11" max="11" width="10.44140625" bestFit="1" customWidth="1"/>
    <col min="12" max="12" width="11.33203125" bestFit="1" customWidth="1"/>
    <col min="13" max="13" width="12" bestFit="1" customWidth="1"/>
    <col min="14" max="14" width="8.88671875" hidden="1" customWidth="1"/>
    <col min="16" max="16" width="10.44140625" bestFit="1" customWidth="1"/>
    <col min="17" max="17" width="11.33203125" bestFit="1" customWidth="1"/>
    <col min="18" max="18" width="10.109375" bestFit="1" customWidth="1"/>
    <col min="19" max="19" width="0" hidden="1" customWidth="1"/>
    <col min="26" max="26" width="10.5546875" bestFit="1" customWidth="1"/>
    <col min="27" max="27" width="11.33203125" bestFit="1" customWidth="1"/>
    <col min="28" max="28" width="12" bestFit="1" customWidth="1"/>
    <col min="29" max="29" width="0" hidden="1" customWidth="1"/>
    <col min="31" max="31" width="10.44140625" bestFit="1" customWidth="1"/>
    <col min="32" max="32" width="11.33203125" bestFit="1" customWidth="1"/>
    <col min="33" max="33" width="9" bestFit="1" customWidth="1"/>
    <col min="34" max="34" width="0" hidden="1" customWidth="1"/>
  </cols>
  <sheetData>
    <row r="1" spans="1:38" ht="15" thickBot="1">
      <c r="A1" s="2" t="s">
        <v>15</v>
      </c>
      <c r="H1" s="214" t="s">
        <v>32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85"/>
      <c r="W1" s="214" t="s">
        <v>33</v>
      </c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86"/>
      <c r="AL1" s="86"/>
    </row>
    <row r="2" spans="1:38">
      <c r="A2" s="4" t="s">
        <v>18</v>
      </c>
      <c r="B2" s="5"/>
      <c r="C2" s="5"/>
      <c r="D2" s="192">
        <v>15</v>
      </c>
      <c r="E2" s="5"/>
      <c r="F2" s="6"/>
      <c r="H2" s="73" t="s">
        <v>14</v>
      </c>
      <c r="I2" s="73" t="s">
        <v>0</v>
      </c>
      <c r="J2" s="73" t="s">
        <v>8</v>
      </c>
      <c r="K2" s="73" t="s">
        <v>2</v>
      </c>
      <c r="L2" s="73" t="s">
        <v>96</v>
      </c>
      <c r="M2" s="73" t="s">
        <v>37</v>
      </c>
      <c r="N2" s="63"/>
      <c r="O2" s="73" t="s">
        <v>21</v>
      </c>
      <c r="P2" s="73" t="s">
        <v>2</v>
      </c>
      <c r="Q2" s="73" t="s">
        <v>96</v>
      </c>
      <c r="R2" s="73" t="s">
        <v>100</v>
      </c>
      <c r="S2" s="73"/>
      <c r="T2" s="206" t="s">
        <v>101</v>
      </c>
      <c r="U2" s="206"/>
      <c r="V2" s="86"/>
      <c r="W2" s="76" t="s">
        <v>14</v>
      </c>
      <c r="X2" s="76" t="s">
        <v>0</v>
      </c>
      <c r="Y2" s="76" t="s">
        <v>8</v>
      </c>
      <c r="Z2" s="76" t="s">
        <v>2</v>
      </c>
      <c r="AA2" s="76" t="s">
        <v>96</v>
      </c>
      <c r="AB2" s="76" t="s">
        <v>37</v>
      </c>
      <c r="AC2" s="78"/>
      <c r="AD2" s="76" t="s">
        <v>21</v>
      </c>
      <c r="AE2" s="76" t="s">
        <v>2</v>
      </c>
      <c r="AF2" s="76" t="s">
        <v>96</v>
      </c>
      <c r="AG2" s="76" t="s">
        <v>100</v>
      </c>
      <c r="AH2" s="76"/>
      <c r="AI2" s="200" t="s">
        <v>101</v>
      </c>
      <c r="AJ2" s="200"/>
      <c r="AK2" s="86"/>
      <c r="AL2" s="86"/>
    </row>
    <row r="3" spans="1:38">
      <c r="A3" s="7" t="s">
        <v>10</v>
      </c>
      <c r="B3" s="8"/>
      <c r="C3" s="8"/>
      <c r="D3" s="149">
        <v>1980</v>
      </c>
      <c r="E3" s="119" t="s">
        <v>11</v>
      </c>
      <c r="F3" s="193">
        <f>2011-time1+1</f>
        <v>1997</v>
      </c>
      <c r="H3" s="64" t="s">
        <v>13</v>
      </c>
      <c r="I3" s="63"/>
      <c r="J3" s="64" t="s">
        <v>13</v>
      </c>
      <c r="K3" s="73"/>
      <c r="L3" s="73" t="s">
        <v>107</v>
      </c>
      <c r="M3" s="63"/>
      <c r="N3" s="63"/>
      <c r="O3" s="73" t="s">
        <v>13</v>
      </c>
      <c r="P3" s="73"/>
      <c r="Q3" s="73" t="s">
        <v>107</v>
      </c>
      <c r="R3" s="73"/>
      <c r="S3" s="73"/>
      <c r="T3" s="206" t="s">
        <v>103</v>
      </c>
      <c r="U3" s="206"/>
      <c r="W3" s="78"/>
      <c r="X3" s="78"/>
      <c r="Y3" s="76" t="s">
        <v>9</v>
      </c>
      <c r="Z3" s="76" t="s">
        <v>36</v>
      </c>
      <c r="AA3" s="76" t="s">
        <v>97</v>
      </c>
      <c r="AB3" s="76" t="s">
        <v>99</v>
      </c>
      <c r="AC3" s="78"/>
      <c r="AD3" s="76" t="s">
        <v>13</v>
      </c>
      <c r="AE3" s="76" t="s">
        <v>3</v>
      </c>
      <c r="AF3" s="76" t="s">
        <v>97</v>
      </c>
      <c r="AG3" s="76" t="s">
        <v>99</v>
      </c>
      <c r="AH3" s="78"/>
      <c r="AI3" s="76" t="s">
        <v>23</v>
      </c>
      <c r="AJ3" s="76" t="s">
        <v>24</v>
      </c>
    </row>
    <row r="4" spans="1:38">
      <c r="A4" s="7" t="s">
        <v>12</v>
      </c>
      <c r="B4" s="8"/>
      <c r="C4" s="148">
        <v>1997</v>
      </c>
      <c r="D4" s="8"/>
      <c r="E4" s="8"/>
      <c r="F4" s="9"/>
      <c r="H4" s="64"/>
      <c r="I4" s="63"/>
      <c r="J4" s="73"/>
      <c r="K4" s="73"/>
      <c r="L4" s="73" t="s">
        <v>98</v>
      </c>
      <c r="M4" s="63"/>
      <c r="N4" s="63"/>
      <c r="O4" s="73"/>
      <c r="P4" s="73"/>
      <c r="Q4" s="73" t="s">
        <v>98</v>
      </c>
      <c r="R4" s="73"/>
      <c r="S4" s="73"/>
      <c r="T4" s="73" t="s">
        <v>23</v>
      </c>
      <c r="U4" s="73" t="s">
        <v>24</v>
      </c>
      <c r="W4" s="87"/>
      <c r="X4" s="88"/>
      <c r="Y4" s="89"/>
      <c r="Z4" s="89"/>
      <c r="AA4" s="89" t="s">
        <v>98</v>
      </c>
      <c r="AB4" s="88"/>
      <c r="AC4" s="88"/>
      <c r="AD4" s="89"/>
      <c r="AE4" s="89"/>
      <c r="AF4" s="89" t="s">
        <v>98</v>
      </c>
      <c r="AG4" s="89"/>
      <c r="AH4" s="89"/>
      <c r="AI4" s="200" t="s">
        <v>103</v>
      </c>
      <c r="AJ4" s="200"/>
    </row>
    <row r="5" spans="1:38">
      <c r="A5" s="7" t="s">
        <v>7</v>
      </c>
      <c r="B5" s="8"/>
      <c r="C5" s="8"/>
      <c r="D5" s="148">
        <v>10000</v>
      </c>
      <c r="E5" s="8"/>
      <c r="F5" s="9"/>
      <c r="H5" s="63">
        <v>1980</v>
      </c>
      <c r="I5" s="63">
        <f>IF(O4=start-1+time1,0,IF(I4&lt;&gt;0,I4+1,IF(H5=start,1,0)))</f>
        <v>0</v>
      </c>
      <c r="J5" s="65">
        <v>0.34899276658629547</v>
      </c>
      <c r="K5" s="66">
        <f>IF(O4=start-1+time1,0,IF(K4&lt;&gt;0,K4*(1+inca),IF(H5=start,cont1*eqper,0)))</f>
        <v>0</v>
      </c>
      <c r="L5" s="63">
        <f>IF(I5=0,0,K5*12)</f>
        <v>0</v>
      </c>
      <c r="M5" s="63">
        <f>IF(I5=0,0,(L5+M4)*(1+J5))</f>
        <v>0</v>
      </c>
      <c r="N5" s="63">
        <f t="shared" ref="N5:N36" si="0">IF(I5=time1,M5,0)</f>
        <v>0</v>
      </c>
      <c r="O5" s="67">
        <v>7.4999999999999997E-2</v>
      </c>
      <c r="P5" s="66">
        <f t="shared" ref="P5:P36" si="1">IF(O4=start-1+time1,0,IF(P4&lt;&gt;0,P4*(1+inca),IF(H5=start,cont1*bondper,0)))</f>
        <v>0</v>
      </c>
      <c r="Q5" s="63">
        <f t="shared" ref="Q5:Q36" si="2">IF(I5=0,0,P5*12)</f>
        <v>0</v>
      </c>
      <c r="R5" s="66">
        <f>IF(I5=0,0,(Q5+R4)*(1+O5))</f>
        <v>0</v>
      </c>
      <c r="S5" s="66">
        <f t="shared" ref="S5:S36" si="3">IF(I5=time1,R5,0)</f>
        <v>0</v>
      </c>
      <c r="T5" s="65">
        <f>IF(I5=0,0,M5/(M5+R5))</f>
        <v>0</v>
      </c>
      <c r="U5" s="68">
        <f>IF(I5=0,0,R5/(M5+R5))</f>
        <v>0</v>
      </c>
      <c r="V5" s="2"/>
      <c r="W5" s="88">
        <v>1980</v>
      </c>
      <c r="X5" s="88">
        <f>IF(AD4=start-1+time1,0,IF(X4&lt;&gt;0,X4+1,IF(W5=start,1,0)))</f>
        <v>0</v>
      </c>
      <c r="Y5" s="90">
        <v>0.34899276658629547</v>
      </c>
      <c r="Z5" s="91">
        <f t="shared" ref="Z5:Z36" si="4">IF(AD4=start-1+time1,0,IF(Z4&lt;&gt;0,Z4*(1+inca),IF(W5=start,cont1*eqper,0)))</f>
        <v>0</v>
      </c>
      <c r="AA5" s="88">
        <f>IF(X5=0,0,Z5*12)</f>
        <v>0</v>
      </c>
      <c r="AB5" s="88">
        <f>IF(X5=0,0,(AA5+AB4)*(1+Y5))</f>
        <v>0</v>
      </c>
      <c r="AC5" s="88">
        <f t="shared" ref="AC5:AC8" si="5">IF(X5=time1,AB5,0)</f>
        <v>0</v>
      </c>
      <c r="AD5" s="92">
        <v>7.4999999999999997E-2</v>
      </c>
      <c r="AE5" s="91">
        <f t="shared" ref="AE5:AE36" si="6">IF(AD4=start-1+time1,0,IF(AE4&lt;&gt;0,AE4*(1+inca),IF(W5=start,cont1*bondper,0)))</f>
        <v>0</v>
      </c>
      <c r="AF5" s="88">
        <f t="shared" ref="AF5:AF36" si="7">IF(X5=0,0,AE5*12)</f>
        <v>0</v>
      </c>
      <c r="AG5" s="91">
        <f>IF(X5=0,0,(AF5+AG4)*(1+AD5))</f>
        <v>0</v>
      </c>
      <c r="AH5" s="91">
        <f t="shared" ref="AH5:AH36" si="8">IF(X5=time1,AG5,0)</f>
        <v>0</v>
      </c>
      <c r="AI5" s="90">
        <f>IF(X5=0,0,AB5/(AB5+AG5))</f>
        <v>0</v>
      </c>
      <c r="AJ5" s="93">
        <f>IF(X5=0,0,AG5/(AB5+AG5))</f>
        <v>0</v>
      </c>
      <c r="AK5" s="2"/>
    </row>
    <row r="6" spans="1:38">
      <c r="A6" s="7" t="s">
        <v>6</v>
      </c>
      <c r="B6" s="8" t="s">
        <v>5</v>
      </c>
      <c r="C6" s="8"/>
      <c r="D6" s="104">
        <v>0</v>
      </c>
      <c r="E6" s="8"/>
      <c r="F6" s="9"/>
      <c r="H6" s="63">
        <f>H5+1</f>
        <v>1981</v>
      </c>
      <c r="I6" s="63">
        <f t="shared" ref="I6:I36" si="9">IF(H5=start-1+time1,0,IF(I5&lt;&gt;0,I5+1,IF(H6=start,1,0)))</f>
        <v>0</v>
      </c>
      <c r="J6" s="65">
        <v>0.25524677121771222</v>
      </c>
      <c r="K6" s="66">
        <f t="shared" ref="K6:K36" si="10">IF(O5=start-1+time1,0,IF(K5&lt;&gt;0,K5*(1+inca),IF(H6=start,cont1*eqper,0)))</f>
        <v>0</v>
      </c>
      <c r="L6" s="63">
        <f t="shared" ref="L6:L36" si="11">IF(I6=0,0,K6*12)</f>
        <v>0</v>
      </c>
      <c r="M6" s="63">
        <f t="shared" ref="M6:M36" si="12">IF(I6=0,0,(L6+M5)*(1+J6))</f>
        <v>0</v>
      </c>
      <c r="N6" s="63">
        <f t="shared" si="0"/>
        <v>0</v>
      </c>
      <c r="O6" s="67">
        <v>0.08</v>
      </c>
      <c r="P6" s="66">
        <f t="shared" si="1"/>
        <v>0</v>
      </c>
      <c r="Q6" s="63">
        <f t="shared" si="2"/>
        <v>0</v>
      </c>
      <c r="R6" s="66">
        <f t="shared" ref="R6:R36" si="13">IF(I6=0,0,(Q6+R5)*(1+O6))</f>
        <v>0</v>
      </c>
      <c r="S6" s="66">
        <f t="shared" si="3"/>
        <v>0</v>
      </c>
      <c r="T6" s="65">
        <f t="shared" ref="T6:T36" si="14">IF(I6=0,0,M6/(M6+R6))</f>
        <v>0</v>
      </c>
      <c r="U6" s="68">
        <f t="shared" ref="U6:U36" si="15">IF(I6=0,0,R6/(M6+R6))</f>
        <v>0</v>
      </c>
      <c r="V6" s="2"/>
      <c r="W6" s="88">
        <f>W5+1</f>
        <v>1981</v>
      </c>
      <c r="X6" s="88">
        <f t="shared" ref="X6:X36" si="16">IF(W5=start-1+time1,0,IF(X5&lt;&gt;0,X5+1,IF(W6=start,1,0)))</f>
        <v>0</v>
      </c>
      <c r="Y6" s="90">
        <v>0.25524677121771222</v>
      </c>
      <c r="Z6" s="91">
        <f t="shared" si="4"/>
        <v>0</v>
      </c>
      <c r="AA6" s="88">
        <f t="shared" ref="AA6:AA36" si="17">IF(X6=0,0,Z6*12)</f>
        <v>0</v>
      </c>
      <c r="AB6" s="88">
        <f t="shared" ref="AB6:AB36" si="18">IF(X6=0,0,(AA6+eqper*(AB5+AG5))*(1+Y6))</f>
        <v>0</v>
      </c>
      <c r="AC6" s="88">
        <f t="shared" si="5"/>
        <v>0</v>
      </c>
      <c r="AD6" s="92">
        <v>0.08</v>
      </c>
      <c r="AE6" s="91">
        <f t="shared" si="6"/>
        <v>0</v>
      </c>
      <c r="AF6" s="88">
        <f t="shared" si="7"/>
        <v>0</v>
      </c>
      <c r="AG6" s="91">
        <f t="shared" ref="AG6:AG36" si="19">IF(X6=0,0,(AF6+bondper*(AG5+AB5))*(1+AD6))</f>
        <v>0</v>
      </c>
      <c r="AH6" s="91">
        <f t="shared" si="8"/>
        <v>0</v>
      </c>
      <c r="AI6" s="90">
        <f t="shared" ref="AI6:AI36" si="20">IF(X6=0,0,AB6/(AB6+AG6))</f>
        <v>0</v>
      </c>
      <c r="AJ6" s="93">
        <f t="shared" ref="AJ6:AJ36" si="21">IF(X6=0,0,AG6/(AB6+AG6))</f>
        <v>0</v>
      </c>
      <c r="AK6" s="2"/>
    </row>
    <row r="7" spans="1:38">
      <c r="A7" s="117" t="s">
        <v>19</v>
      </c>
      <c r="B7" s="104">
        <v>0.5</v>
      </c>
      <c r="C7" s="121" t="s">
        <v>126</v>
      </c>
      <c r="D7" s="105">
        <f>100%-eqper</f>
        <v>0.5</v>
      </c>
      <c r="E7" s="8"/>
      <c r="F7" s="9"/>
      <c r="H7" s="63">
        <f t="shared" ref="H7:H36" si="22">H6+1</f>
        <v>1982</v>
      </c>
      <c r="I7" s="63">
        <f t="shared" si="9"/>
        <v>0</v>
      </c>
      <c r="J7" s="65">
        <v>-2.8478250884203839E-2</v>
      </c>
      <c r="K7" s="66">
        <f t="shared" si="10"/>
        <v>0</v>
      </c>
      <c r="L7" s="63">
        <f t="shared" si="11"/>
        <v>0</v>
      </c>
      <c r="M7" s="63">
        <f t="shared" si="12"/>
        <v>0</v>
      </c>
      <c r="N7" s="63">
        <f t="shared" si="0"/>
        <v>0</v>
      </c>
      <c r="O7" s="67">
        <v>0.08</v>
      </c>
      <c r="P7" s="66">
        <f t="shared" si="1"/>
        <v>0</v>
      </c>
      <c r="Q7" s="63">
        <f t="shared" si="2"/>
        <v>0</v>
      </c>
      <c r="R7" s="66">
        <f t="shared" si="13"/>
        <v>0</v>
      </c>
      <c r="S7" s="66">
        <f t="shared" si="3"/>
        <v>0</v>
      </c>
      <c r="T7" s="65">
        <f t="shared" si="14"/>
        <v>0</v>
      </c>
      <c r="U7" s="68">
        <f t="shared" si="15"/>
        <v>0</v>
      </c>
      <c r="V7" s="3"/>
      <c r="W7" s="88">
        <f t="shared" ref="W7:W36" si="23">W6+1</f>
        <v>1982</v>
      </c>
      <c r="X7" s="88">
        <f t="shared" si="16"/>
        <v>0</v>
      </c>
      <c r="Y7" s="90">
        <v>-2.8478250884203839E-2</v>
      </c>
      <c r="Z7" s="91">
        <f t="shared" si="4"/>
        <v>0</v>
      </c>
      <c r="AA7" s="88">
        <f t="shared" si="17"/>
        <v>0</v>
      </c>
      <c r="AB7" s="88">
        <f t="shared" si="18"/>
        <v>0</v>
      </c>
      <c r="AC7" s="88">
        <f t="shared" si="5"/>
        <v>0</v>
      </c>
      <c r="AD7" s="92">
        <v>0.08</v>
      </c>
      <c r="AE7" s="91">
        <f t="shared" si="6"/>
        <v>0</v>
      </c>
      <c r="AF7" s="88">
        <f t="shared" si="7"/>
        <v>0</v>
      </c>
      <c r="AG7" s="91">
        <f t="shared" si="19"/>
        <v>0</v>
      </c>
      <c r="AH7" s="91">
        <f t="shared" si="8"/>
        <v>0</v>
      </c>
      <c r="AI7" s="90">
        <f t="shared" si="20"/>
        <v>0</v>
      </c>
      <c r="AJ7" s="93">
        <f t="shared" si="21"/>
        <v>0</v>
      </c>
      <c r="AK7" s="3"/>
    </row>
    <row r="8" spans="1:38" ht="15" thickBot="1">
      <c r="A8" s="13" t="s">
        <v>22</v>
      </c>
      <c r="B8" s="10"/>
      <c r="C8" s="10"/>
      <c r="D8" s="10"/>
      <c r="E8" s="10"/>
      <c r="F8" s="11"/>
      <c r="H8" s="63">
        <f t="shared" si="22"/>
        <v>1983</v>
      </c>
      <c r="I8" s="63">
        <f t="shared" si="9"/>
        <v>0</v>
      </c>
      <c r="J8" s="65">
        <v>0.15989787716892828</v>
      </c>
      <c r="K8" s="66">
        <f t="shared" si="10"/>
        <v>0</v>
      </c>
      <c r="L8" s="63">
        <f t="shared" si="11"/>
        <v>0</v>
      </c>
      <c r="M8" s="63">
        <f t="shared" si="12"/>
        <v>0</v>
      </c>
      <c r="N8" s="63">
        <f t="shared" si="0"/>
        <v>0</v>
      </c>
      <c r="O8" s="67">
        <v>0.08</v>
      </c>
      <c r="P8" s="66">
        <f t="shared" si="1"/>
        <v>0</v>
      </c>
      <c r="Q8" s="63">
        <f t="shared" si="2"/>
        <v>0</v>
      </c>
      <c r="R8" s="66">
        <f t="shared" si="13"/>
        <v>0</v>
      </c>
      <c r="S8" s="66">
        <f t="shared" si="3"/>
        <v>0</v>
      </c>
      <c r="T8" s="65">
        <f t="shared" si="14"/>
        <v>0</v>
      </c>
      <c r="U8" s="68">
        <f t="shared" si="15"/>
        <v>0</v>
      </c>
      <c r="V8" s="3"/>
      <c r="W8" s="88">
        <f t="shared" si="23"/>
        <v>1983</v>
      </c>
      <c r="X8" s="88">
        <f t="shared" si="16"/>
        <v>0</v>
      </c>
      <c r="Y8" s="90">
        <v>0.15989787716892828</v>
      </c>
      <c r="Z8" s="91">
        <f t="shared" si="4"/>
        <v>0</v>
      </c>
      <c r="AA8" s="88">
        <f t="shared" si="17"/>
        <v>0</v>
      </c>
      <c r="AB8" s="88">
        <f t="shared" si="18"/>
        <v>0</v>
      </c>
      <c r="AC8" s="88">
        <f t="shared" si="5"/>
        <v>0</v>
      </c>
      <c r="AD8" s="92">
        <v>0.08</v>
      </c>
      <c r="AE8" s="91">
        <f t="shared" si="6"/>
        <v>0</v>
      </c>
      <c r="AF8" s="88">
        <f t="shared" si="7"/>
        <v>0</v>
      </c>
      <c r="AG8" s="91">
        <f t="shared" si="19"/>
        <v>0</v>
      </c>
      <c r="AH8" s="91">
        <f t="shared" si="8"/>
        <v>0</v>
      </c>
      <c r="AI8" s="90">
        <f t="shared" si="20"/>
        <v>0</v>
      </c>
      <c r="AJ8" s="93">
        <f t="shared" si="21"/>
        <v>0</v>
      </c>
      <c r="AK8" s="3"/>
    </row>
    <row r="9" spans="1:38">
      <c r="A9" s="106" t="s">
        <v>56</v>
      </c>
      <c r="B9" s="106"/>
      <c r="C9" s="106"/>
      <c r="D9" s="191">
        <v>0.08</v>
      </c>
      <c r="H9" s="63">
        <f t="shared" si="22"/>
        <v>1984</v>
      </c>
      <c r="I9" s="63">
        <f t="shared" si="9"/>
        <v>0</v>
      </c>
      <c r="J9" s="65">
        <v>0.44238372803978315</v>
      </c>
      <c r="K9" s="66">
        <f t="shared" si="10"/>
        <v>0</v>
      </c>
      <c r="L9" s="63">
        <f t="shared" si="11"/>
        <v>0</v>
      </c>
      <c r="M9" s="63">
        <f t="shared" si="12"/>
        <v>0</v>
      </c>
      <c r="N9" s="63">
        <f>IF(I9=time1,M9,0)</f>
        <v>0</v>
      </c>
      <c r="O9" s="67">
        <v>0.08</v>
      </c>
      <c r="P9" s="66">
        <f t="shared" si="1"/>
        <v>0</v>
      </c>
      <c r="Q9" s="63">
        <f t="shared" si="2"/>
        <v>0</v>
      </c>
      <c r="R9" s="66">
        <f t="shared" si="13"/>
        <v>0</v>
      </c>
      <c r="S9" s="66">
        <f t="shared" si="3"/>
        <v>0</v>
      </c>
      <c r="T9" s="65">
        <f t="shared" si="14"/>
        <v>0</v>
      </c>
      <c r="U9" s="68">
        <f t="shared" si="15"/>
        <v>0</v>
      </c>
      <c r="V9" s="3"/>
      <c r="W9" s="88">
        <f t="shared" si="23"/>
        <v>1984</v>
      </c>
      <c r="X9" s="88">
        <f t="shared" si="16"/>
        <v>0</v>
      </c>
      <c r="Y9" s="90">
        <v>0.44238372803978315</v>
      </c>
      <c r="Z9" s="91">
        <f t="shared" si="4"/>
        <v>0</v>
      </c>
      <c r="AA9" s="88">
        <f t="shared" si="17"/>
        <v>0</v>
      </c>
      <c r="AB9" s="88">
        <f t="shared" si="18"/>
        <v>0</v>
      </c>
      <c r="AC9" s="88">
        <f>IF(X9=time1,AB9,0)</f>
        <v>0</v>
      </c>
      <c r="AD9" s="92">
        <v>0.08</v>
      </c>
      <c r="AE9" s="91">
        <f t="shared" si="6"/>
        <v>0</v>
      </c>
      <c r="AF9" s="88">
        <f t="shared" si="7"/>
        <v>0</v>
      </c>
      <c r="AG9" s="91">
        <f t="shared" si="19"/>
        <v>0</v>
      </c>
      <c r="AH9" s="91">
        <f t="shared" si="8"/>
        <v>0</v>
      </c>
      <c r="AI9" s="90">
        <f t="shared" si="20"/>
        <v>0</v>
      </c>
      <c r="AJ9" s="93">
        <f t="shared" si="21"/>
        <v>0</v>
      </c>
      <c r="AK9" s="3"/>
    </row>
    <row r="10" spans="1:38">
      <c r="A10" s="38" t="s">
        <v>60</v>
      </c>
      <c r="B10" s="38"/>
      <c r="C10" s="38"/>
      <c r="D10" s="97">
        <v>0.08</v>
      </c>
      <c r="H10" s="63">
        <f t="shared" si="22"/>
        <v>1985</v>
      </c>
      <c r="I10" s="63">
        <f t="shared" si="9"/>
        <v>0</v>
      </c>
      <c r="J10" s="65">
        <v>0.62242129655796075</v>
      </c>
      <c r="K10" s="66">
        <f t="shared" si="10"/>
        <v>0</v>
      </c>
      <c r="L10" s="63">
        <f t="shared" si="11"/>
        <v>0</v>
      </c>
      <c r="M10" s="63">
        <f t="shared" si="12"/>
        <v>0</v>
      </c>
      <c r="N10" s="63">
        <f>IF(I10=time1,M10,0)</f>
        <v>0</v>
      </c>
      <c r="O10" s="67">
        <v>8.5000000000000006E-2</v>
      </c>
      <c r="P10" s="66">
        <f t="shared" si="1"/>
        <v>0</v>
      </c>
      <c r="Q10" s="63">
        <f t="shared" si="2"/>
        <v>0</v>
      </c>
      <c r="R10" s="66">
        <f t="shared" si="13"/>
        <v>0</v>
      </c>
      <c r="S10" s="66">
        <f t="shared" si="3"/>
        <v>0</v>
      </c>
      <c r="T10" s="65">
        <f t="shared" si="14"/>
        <v>0</v>
      </c>
      <c r="U10" s="68">
        <f t="shared" si="15"/>
        <v>0</v>
      </c>
      <c r="V10" s="3"/>
      <c r="W10" s="88">
        <f t="shared" si="23"/>
        <v>1985</v>
      </c>
      <c r="X10" s="88">
        <f t="shared" si="16"/>
        <v>0</v>
      </c>
      <c r="Y10" s="90">
        <v>0.62242129655796075</v>
      </c>
      <c r="Z10" s="91">
        <f t="shared" si="4"/>
        <v>0</v>
      </c>
      <c r="AA10" s="88">
        <f t="shared" si="17"/>
        <v>0</v>
      </c>
      <c r="AB10" s="88">
        <f t="shared" si="18"/>
        <v>0</v>
      </c>
      <c r="AC10" s="88">
        <f>IF(X10=time1,AB10,0)</f>
        <v>0</v>
      </c>
      <c r="AD10" s="92">
        <v>8.5000000000000006E-2</v>
      </c>
      <c r="AE10" s="91">
        <f t="shared" si="6"/>
        <v>0</v>
      </c>
      <c r="AF10" s="88">
        <f t="shared" si="7"/>
        <v>0</v>
      </c>
      <c r="AG10" s="91">
        <f t="shared" si="19"/>
        <v>0</v>
      </c>
      <c r="AH10" s="91">
        <f t="shared" si="8"/>
        <v>0</v>
      </c>
      <c r="AI10" s="90">
        <f t="shared" si="20"/>
        <v>0</v>
      </c>
      <c r="AJ10" s="93">
        <f t="shared" si="21"/>
        <v>0</v>
      </c>
      <c r="AK10" s="3"/>
    </row>
    <row r="11" spans="1:38">
      <c r="A11" s="38" t="s">
        <v>57</v>
      </c>
      <c r="B11" s="38"/>
      <c r="C11" s="38"/>
      <c r="D11" s="98">
        <v>40000</v>
      </c>
      <c r="E11" s="38" t="s">
        <v>58</v>
      </c>
      <c r="F11" s="38"/>
      <c r="G11" s="38"/>
      <c r="H11" s="63">
        <f t="shared" si="22"/>
        <v>1986</v>
      </c>
      <c r="I11" s="63">
        <f t="shared" si="9"/>
        <v>0</v>
      </c>
      <c r="J11" s="65">
        <v>-0.11104143805194128</v>
      </c>
      <c r="K11" s="66">
        <f t="shared" si="10"/>
        <v>0</v>
      </c>
      <c r="L11" s="63">
        <f t="shared" si="11"/>
        <v>0</v>
      </c>
      <c r="M11" s="63">
        <f t="shared" si="12"/>
        <v>0</v>
      </c>
      <c r="N11" s="63">
        <f t="shared" si="0"/>
        <v>0</v>
      </c>
      <c r="O11" s="67">
        <v>8.5000000000000006E-2</v>
      </c>
      <c r="P11" s="66">
        <f t="shared" si="1"/>
        <v>0</v>
      </c>
      <c r="Q11" s="63">
        <f t="shared" si="2"/>
        <v>0</v>
      </c>
      <c r="R11" s="66">
        <f t="shared" si="13"/>
        <v>0</v>
      </c>
      <c r="S11" s="66">
        <f t="shared" si="3"/>
        <v>0</v>
      </c>
      <c r="T11" s="65">
        <f t="shared" si="14"/>
        <v>0</v>
      </c>
      <c r="U11" s="68">
        <f t="shared" si="15"/>
        <v>0</v>
      </c>
      <c r="V11" s="3"/>
      <c r="W11" s="88">
        <f t="shared" si="23"/>
        <v>1986</v>
      </c>
      <c r="X11" s="88">
        <f t="shared" si="16"/>
        <v>0</v>
      </c>
      <c r="Y11" s="90">
        <v>-0.11104143805194128</v>
      </c>
      <c r="Z11" s="91">
        <f t="shared" si="4"/>
        <v>0</v>
      </c>
      <c r="AA11" s="88">
        <f t="shared" si="17"/>
        <v>0</v>
      </c>
      <c r="AB11" s="88">
        <f t="shared" si="18"/>
        <v>0</v>
      </c>
      <c r="AC11" s="88">
        <f t="shared" ref="AC11:AC36" si="24">IF(X11=time1,AB11,0)</f>
        <v>0</v>
      </c>
      <c r="AD11" s="92">
        <v>8.5000000000000006E-2</v>
      </c>
      <c r="AE11" s="91">
        <f t="shared" si="6"/>
        <v>0</v>
      </c>
      <c r="AF11" s="88">
        <f t="shared" si="7"/>
        <v>0</v>
      </c>
      <c r="AG11" s="91">
        <f t="shared" si="19"/>
        <v>0</v>
      </c>
      <c r="AH11" s="91">
        <f t="shared" si="8"/>
        <v>0</v>
      </c>
      <c r="AI11" s="90">
        <f t="shared" si="20"/>
        <v>0</v>
      </c>
      <c r="AJ11" s="93">
        <f t="shared" si="21"/>
        <v>0</v>
      </c>
      <c r="AK11" s="3"/>
    </row>
    <row r="12" spans="1:38">
      <c r="A12" s="8"/>
      <c r="B12" s="8"/>
      <c r="C12" s="8"/>
      <c r="D12" s="8"/>
      <c r="H12" s="63">
        <f t="shared" si="22"/>
        <v>1987</v>
      </c>
      <c r="I12" s="63">
        <f t="shared" si="9"/>
        <v>0</v>
      </c>
      <c r="J12" s="65">
        <v>-0.21943334117093818</v>
      </c>
      <c r="K12" s="66">
        <f t="shared" si="10"/>
        <v>0</v>
      </c>
      <c r="L12" s="63">
        <f t="shared" si="11"/>
        <v>0</v>
      </c>
      <c r="M12" s="63">
        <f t="shared" si="12"/>
        <v>0</v>
      </c>
      <c r="N12" s="63">
        <f t="shared" si="0"/>
        <v>0</v>
      </c>
      <c r="O12" s="67">
        <v>0.09</v>
      </c>
      <c r="P12" s="66">
        <f t="shared" si="1"/>
        <v>0</v>
      </c>
      <c r="Q12" s="63">
        <f t="shared" si="2"/>
        <v>0</v>
      </c>
      <c r="R12" s="66">
        <f t="shared" si="13"/>
        <v>0</v>
      </c>
      <c r="S12" s="66">
        <f t="shared" si="3"/>
        <v>0</v>
      </c>
      <c r="T12" s="65">
        <f t="shared" si="14"/>
        <v>0</v>
      </c>
      <c r="U12" s="68">
        <f t="shared" si="15"/>
        <v>0</v>
      </c>
      <c r="V12" s="3"/>
      <c r="W12" s="88">
        <f t="shared" si="23"/>
        <v>1987</v>
      </c>
      <c r="X12" s="88">
        <f t="shared" si="16"/>
        <v>0</v>
      </c>
      <c r="Y12" s="90">
        <v>-0.21943334117093818</v>
      </c>
      <c r="Z12" s="91">
        <f t="shared" si="4"/>
        <v>0</v>
      </c>
      <c r="AA12" s="88">
        <f t="shared" si="17"/>
        <v>0</v>
      </c>
      <c r="AB12" s="88">
        <f t="shared" si="18"/>
        <v>0</v>
      </c>
      <c r="AC12" s="88">
        <f t="shared" si="24"/>
        <v>0</v>
      </c>
      <c r="AD12" s="92">
        <v>0.09</v>
      </c>
      <c r="AE12" s="91">
        <f t="shared" si="6"/>
        <v>0</v>
      </c>
      <c r="AF12" s="88">
        <f t="shared" si="7"/>
        <v>0</v>
      </c>
      <c r="AG12" s="91">
        <f t="shared" si="19"/>
        <v>0</v>
      </c>
      <c r="AH12" s="91">
        <f t="shared" si="8"/>
        <v>0</v>
      </c>
      <c r="AI12" s="90">
        <f t="shared" si="20"/>
        <v>0</v>
      </c>
      <c r="AJ12" s="93">
        <f t="shared" si="21"/>
        <v>0</v>
      </c>
      <c r="AK12" s="3"/>
    </row>
    <row r="13" spans="1:38">
      <c r="A13" s="38"/>
      <c r="B13" s="38" t="s">
        <v>26</v>
      </c>
      <c r="C13" s="38" t="s">
        <v>27</v>
      </c>
      <c r="D13" s="38" t="s">
        <v>28</v>
      </c>
      <c r="E13" s="38" t="s">
        <v>29</v>
      </c>
      <c r="F13" s="38" t="s">
        <v>30</v>
      </c>
      <c r="H13" s="63">
        <f t="shared" si="22"/>
        <v>1988</v>
      </c>
      <c r="I13" s="63">
        <f t="shared" si="9"/>
        <v>0</v>
      </c>
      <c r="J13" s="65">
        <v>0.79129954564851768</v>
      </c>
      <c r="K13" s="66">
        <f t="shared" si="10"/>
        <v>0</v>
      </c>
      <c r="L13" s="63">
        <f t="shared" si="11"/>
        <v>0</v>
      </c>
      <c r="M13" s="63">
        <f t="shared" si="12"/>
        <v>0</v>
      </c>
      <c r="N13" s="63">
        <f t="shared" si="0"/>
        <v>0</v>
      </c>
      <c r="O13" s="67">
        <v>0.09</v>
      </c>
      <c r="P13" s="66">
        <f t="shared" si="1"/>
        <v>0</v>
      </c>
      <c r="Q13" s="63">
        <f t="shared" si="2"/>
        <v>0</v>
      </c>
      <c r="R13" s="66">
        <f t="shared" si="13"/>
        <v>0</v>
      </c>
      <c r="S13" s="66">
        <f t="shared" si="3"/>
        <v>0</v>
      </c>
      <c r="T13" s="65">
        <f t="shared" si="14"/>
        <v>0</v>
      </c>
      <c r="U13" s="68">
        <f t="shared" si="15"/>
        <v>0</v>
      </c>
      <c r="V13" s="3"/>
      <c r="W13" s="88">
        <f t="shared" si="23"/>
        <v>1988</v>
      </c>
      <c r="X13" s="88">
        <f t="shared" si="16"/>
        <v>0</v>
      </c>
      <c r="Y13" s="90">
        <v>0.79129954564851768</v>
      </c>
      <c r="Z13" s="91">
        <f t="shared" si="4"/>
        <v>0</v>
      </c>
      <c r="AA13" s="88">
        <f t="shared" si="17"/>
        <v>0</v>
      </c>
      <c r="AB13" s="88">
        <f t="shared" si="18"/>
        <v>0</v>
      </c>
      <c r="AC13" s="88">
        <f t="shared" si="24"/>
        <v>0</v>
      </c>
      <c r="AD13" s="92">
        <v>0.09</v>
      </c>
      <c r="AE13" s="91">
        <f t="shared" si="6"/>
        <v>0</v>
      </c>
      <c r="AF13" s="88">
        <f t="shared" si="7"/>
        <v>0</v>
      </c>
      <c r="AG13" s="91">
        <f t="shared" si="19"/>
        <v>0</v>
      </c>
      <c r="AH13" s="91">
        <f t="shared" si="8"/>
        <v>0</v>
      </c>
      <c r="AI13" s="90">
        <f t="shared" si="20"/>
        <v>0</v>
      </c>
      <c r="AJ13" s="93">
        <f t="shared" si="21"/>
        <v>0</v>
      </c>
      <c r="AK13" s="3"/>
    </row>
    <row r="14" spans="1:38">
      <c r="A14" s="29" t="s">
        <v>25</v>
      </c>
      <c r="B14" s="32">
        <f>MAX(N4:N57)</f>
        <v>2807877.6028980715</v>
      </c>
      <c r="C14" s="32">
        <f>MAX(S4:S57)</f>
        <v>1707778.7832421456</v>
      </c>
      <c r="D14" s="31">
        <f>B14+C14</f>
        <v>4515656.3861402171</v>
      </c>
      <c r="E14" s="30">
        <f>B14/D14</f>
        <v>0.62180940328325573</v>
      </c>
      <c r="F14" s="30">
        <f>C14/D14</f>
        <v>0.37819059671674427</v>
      </c>
      <c r="H14" s="63">
        <f t="shared" si="22"/>
        <v>1989</v>
      </c>
      <c r="I14" s="63">
        <f t="shared" si="9"/>
        <v>0</v>
      </c>
      <c r="J14" s="65">
        <v>9.4520739910313803E-2</v>
      </c>
      <c r="K14" s="66">
        <f t="shared" si="10"/>
        <v>0</v>
      </c>
      <c r="L14" s="63">
        <f t="shared" si="11"/>
        <v>0</v>
      </c>
      <c r="M14" s="63">
        <f t="shared" si="12"/>
        <v>0</v>
      </c>
      <c r="N14" s="63">
        <f t="shared" si="0"/>
        <v>0</v>
      </c>
      <c r="O14" s="67">
        <v>0.09</v>
      </c>
      <c r="P14" s="66">
        <f t="shared" si="1"/>
        <v>0</v>
      </c>
      <c r="Q14" s="63">
        <f t="shared" si="2"/>
        <v>0</v>
      </c>
      <c r="R14" s="66">
        <f t="shared" si="13"/>
        <v>0</v>
      </c>
      <c r="S14" s="66">
        <f t="shared" si="3"/>
        <v>0</v>
      </c>
      <c r="T14" s="65">
        <f t="shared" si="14"/>
        <v>0</v>
      </c>
      <c r="U14" s="68">
        <f t="shared" si="15"/>
        <v>0</v>
      </c>
      <c r="V14" s="3"/>
      <c r="W14" s="88">
        <f t="shared" si="23"/>
        <v>1989</v>
      </c>
      <c r="X14" s="88">
        <f t="shared" si="16"/>
        <v>0</v>
      </c>
      <c r="Y14" s="90">
        <v>9.4520739910313803E-2</v>
      </c>
      <c r="Z14" s="91">
        <f t="shared" si="4"/>
        <v>0</v>
      </c>
      <c r="AA14" s="88">
        <f t="shared" si="17"/>
        <v>0</v>
      </c>
      <c r="AB14" s="88">
        <f t="shared" si="18"/>
        <v>0</v>
      </c>
      <c r="AC14" s="88">
        <f t="shared" si="24"/>
        <v>0</v>
      </c>
      <c r="AD14" s="92">
        <v>0.09</v>
      </c>
      <c r="AE14" s="91">
        <f t="shared" si="6"/>
        <v>0</v>
      </c>
      <c r="AF14" s="88">
        <f t="shared" si="7"/>
        <v>0</v>
      </c>
      <c r="AG14" s="91">
        <f t="shared" si="19"/>
        <v>0</v>
      </c>
      <c r="AH14" s="91">
        <f t="shared" si="8"/>
        <v>0</v>
      </c>
      <c r="AI14" s="90">
        <f t="shared" si="20"/>
        <v>0</v>
      </c>
      <c r="AJ14" s="93">
        <f t="shared" si="21"/>
        <v>0</v>
      </c>
      <c r="AK14" s="3"/>
    </row>
    <row r="15" spans="1:38">
      <c r="A15" s="29" t="s">
        <v>31</v>
      </c>
      <c r="B15" s="32">
        <f>MAX(AC4:AC60)</f>
        <v>2200582.1629339396</v>
      </c>
      <c r="C15" s="32">
        <f>MAX(AH4:AH60)</f>
        <v>2729068.5797484517</v>
      </c>
      <c r="D15" s="31">
        <f>B15+C15</f>
        <v>4929650.7426823918</v>
      </c>
      <c r="E15" s="30">
        <f>B15/D15</f>
        <v>0.446397174526106</v>
      </c>
      <c r="F15" s="30">
        <f>C15/D15</f>
        <v>0.55360282547389394</v>
      </c>
      <c r="H15" s="63">
        <f t="shared" si="22"/>
        <v>1990</v>
      </c>
      <c r="I15" s="63">
        <f t="shared" si="9"/>
        <v>0</v>
      </c>
      <c r="J15" s="65">
        <v>0.49538441841111336</v>
      </c>
      <c r="K15" s="66">
        <f t="shared" si="10"/>
        <v>0</v>
      </c>
      <c r="L15" s="63">
        <f t="shared" si="11"/>
        <v>0</v>
      </c>
      <c r="M15" s="63">
        <f t="shared" si="12"/>
        <v>0</v>
      </c>
      <c r="N15" s="63">
        <f t="shared" si="0"/>
        <v>0</v>
      </c>
      <c r="O15" s="67">
        <v>0.09</v>
      </c>
      <c r="P15" s="66">
        <f t="shared" si="1"/>
        <v>0</v>
      </c>
      <c r="Q15" s="63">
        <f t="shared" si="2"/>
        <v>0</v>
      </c>
      <c r="R15" s="66">
        <f t="shared" si="13"/>
        <v>0</v>
      </c>
      <c r="S15" s="66">
        <f t="shared" si="3"/>
        <v>0</v>
      </c>
      <c r="T15" s="65">
        <f t="shared" si="14"/>
        <v>0</v>
      </c>
      <c r="U15" s="68">
        <f t="shared" si="15"/>
        <v>0</v>
      </c>
      <c r="V15" s="3"/>
      <c r="W15" s="88">
        <f t="shared" si="23"/>
        <v>1990</v>
      </c>
      <c r="X15" s="88">
        <f t="shared" si="16"/>
        <v>0</v>
      </c>
      <c r="Y15" s="90">
        <v>0.49538441841111336</v>
      </c>
      <c r="Z15" s="91">
        <f t="shared" si="4"/>
        <v>0</v>
      </c>
      <c r="AA15" s="88">
        <f t="shared" si="17"/>
        <v>0</v>
      </c>
      <c r="AB15" s="88">
        <f t="shared" si="18"/>
        <v>0</v>
      </c>
      <c r="AC15" s="88">
        <f t="shared" si="24"/>
        <v>0</v>
      </c>
      <c r="AD15" s="92">
        <v>0.09</v>
      </c>
      <c r="AE15" s="91">
        <f t="shared" si="6"/>
        <v>0</v>
      </c>
      <c r="AF15" s="88">
        <f t="shared" si="7"/>
        <v>0</v>
      </c>
      <c r="AG15" s="91">
        <f t="shared" si="19"/>
        <v>0</v>
      </c>
      <c r="AH15" s="91">
        <f t="shared" si="8"/>
        <v>0</v>
      </c>
      <c r="AI15" s="90">
        <f t="shared" si="20"/>
        <v>0</v>
      </c>
      <c r="AJ15" s="93">
        <f t="shared" si="21"/>
        <v>0</v>
      </c>
      <c r="AK15" s="3"/>
    </row>
    <row r="16" spans="1:38">
      <c r="A16" s="27" t="s">
        <v>131</v>
      </c>
      <c r="H16" s="63">
        <f t="shared" si="22"/>
        <v>1991</v>
      </c>
      <c r="I16" s="63">
        <f t="shared" si="9"/>
        <v>0</v>
      </c>
      <c r="J16" s="65">
        <v>2.6687586153753942</v>
      </c>
      <c r="K16" s="66">
        <f t="shared" si="10"/>
        <v>0</v>
      </c>
      <c r="L16" s="63">
        <f t="shared" si="11"/>
        <v>0</v>
      </c>
      <c r="M16" s="63">
        <f t="shared" si="12"/>
        <v>0</v>
      </c>
      <c r="N16" s="63">
        <f t="shared" si="0"/>
        <v>0</v>
      </c>
      <c r="O16" s="67">
        <v>0.12</v>
      </c>
      <c r="P16" s="66">
        <f t="shared" si="1"/>
        <v>0</v>
      </c>
      <c r="Q16" s="63">
        <f t="shared" si="2"/>
        <v>0</v>
      </c>
      <c r="R16" s="66">
        <f t="shared" si="13"/>
        <v>0</v>
      </c>
      <c r="S16" s="66">
        <f t="shared" si="3"/>
        <v>0</v>
      </c>
      <c r="T16" s="65">
        <f t="shared" si="14"/>
        <v>0</v>
      </c>
      <c r="U16" s="68">
        <f t="shared" si="15"/>
        <v>0</v>
      </c>
      <c r="V16" s="3"/>
      <c r="W16" s="88">
        <f t="shared" si="23"/>
        <v>1991</v>
      </c>
      <c r="X16" s="88">
        <f t="shared" si="16"/>
        <v>0</v>
      </c>
      <c r="Y16" s="90">
        <v>2.6687586153753942</v>
      </c>
      <c r="Z16" s="91">
        <f t="shared" si="4"/>
        <v>0</v>
      </c>
      <c r="AA16" s="88">
        <f t="shared" si="17"/>
        <v>0</v>
      </c>
      <c r="AB16" s="88">
        <f t="shared" si="18"/>
        <v>0</v>
      </c>
      <c r="AC16" s="88">
        <f t="shared" si="24"/>
        <v>0</v>
      </c>
      <c r="AD16" s="92">
        <v>0.12</v>
      </c>
      <c r="AE16" s="91">
        <f t="shared" si="6"/>
        <v>0</v>
      </c>
      <c r="AF16" s="88">
        <f t="shared" si="7"/>
        <v>0</v>
      </c>
      <c r="AG16" s="91">
        <f t="shared" si="19"/>
        <v>0</v>
      </c>
      <c r="AH16" s="91">
        <f t="shared" si="8"/>
        <v>0</v>
      </c>
      <c r="AI16" s="90">
        <f t="shared" si="20"/>
        <v>0</v>
      </c>
      <c r="AJ16" s="93">
        <f t="shared" si="21"/>
        <v>0</v>
      </c>
      <c r="AK16" s="3"/>
    </row>
    <row r="17" spans="1:37">
      <c r="A17" s="37" t="s">
        <v>44</v>
      </c>
      <c r="B17" s="38"/>
      <c r="C17" s="150">
        <f>(D15-D14)/D14</f>
        <v>9.1679773911238341E-2</v>
      </c>
      <c r="D17" s="39"/>
      <c r="H17" s="63">
        <f t="shared" si="22"/>
        <v>1992</v>
      </c>
      <c r="I17" s="63">
        <f t="shared" si="9"/>
        <v>0</v>
      </c>
      <c r="J17" s="65">
        <v>-0.4677899649941657</v>
      </c>
      <c r="K17" s="66">
        <f t="shared" si="10"/>
        <v>0</v>
      </c>
      <c r="L17" s="63">
        <f t="shared" si="11"/>
        <v>0</v>
      </c>
      <c r="M17" s="63">
        <f t="shared" si="12"/>
        <v>0</v>
      </c>
      <c r="N17" s="63">
        <f t="shared" si="0"/>
        <v>0</v>
      </c>
      <c r="O17" s="67">
        <v>0.11</v>
      </c>
      <c r="P17" s="66">
        <f t="shared" si="1"/>
        <v>0</v>
      </c>
      <c r="Q17" s="63">
        <f t="shared" si="2"/>
        <v>0</v>
      </c>
      <c r="R17" s="66">
        <f t="shared" si="13"/>
        <v>0</v>
      </c>
      <c r="S17" s="66">
        <f t="shared" si="3"/>
        <v>0</v>
      </c>
      <c r="T17" s="65">
        <f t="shared" si="14"/>
        <v>0</v>
      </c>
      <c r="U17" s="68">
        <f t="shared" si="15"/>
        <v>0</v>
      </c>
      <c r="V17" s="3"/>
      <c r="W17" s="88">
        <f t="shared" si="23"/>
        <v>1992</v>
      </c>
      <c r="X17" s="88">
        <f t="shared" si="16"/>
        <v>0</v>
      </c>
      <c r="Y17" s="90">
        <v>-0.4677899649941657</v>
      </c>
      <c r="Z17" s="91">
        <f t="shared" si="4"/>
        <v>0</v>
      </c>
      <c r="AA17" s="88">
        <f t="shared" si="17"/>
        <v>0</v>
      </c>
      <c r="AB17" s="88">
        <f t="shared" si="18"/>
        <v>0</v>
      </c>
      <c r="AC17" s="88">
        <f t="shared" si="24"/>
        <v>0</v>
      </c>
      <c r="AD17" s="92">
        <v>0.11</v>
      </c>
      <c r="AE17" s="91">
        <f t="shared" si="6"/>
        <v>0</v>
      </c>
      <c r="AF17" s="88">
        <f t="shared" si="7"/>
        <v>0</v>
      </c>
      <c r="AG17" s="91">
        <f t="shared" si="19"/>
        <v>0</v>
      </c>
      <c r="AH17" s="91">
        <f t="shared" si="8"/>
        <v>0</v>
      </c>
      <c r="AI17" s="90">
        <f t="shared" si="20"/>
        <v>0</v>
      </c>
      <c r="AJ17" s="93">
        <f t="shared" si="21"/>
        <v>0</v>
      </c>
      <c r="AK17" s="3"/>
    </row>
    <row r="18" spans="1:37">
      <c r="A18" s="219" t="s">
        <v>122</v>
      </c>
      <c r="B18" s="219"/>
      <c r="C18" s="219"/>
      <c r="D18" s="2"/>
      <c r="H18" s="63">
        <f t="shared" si="22"/>
        <v>1993</v>
      </c>
      <c r="I18" s="63">
        <f t="shared" si="9"/>
        <v>0</v>
      </c>
      <c r="J18" s="65">
        <v>0.65707382526792135</v>
      </c>
      <c r="K18" s="66">
        <f t="shared" si="10"/>
        <v>0</v>
      </c>
      <c r="L18" s="63">
        <f t="shared" si="11"/>
        <v>0</v>
      </c>
      <c r="M18" s="63">
        <f t="shared" si="12"/>
        <v>0</v>
      </c>
      <c r="N18" s="63">
        <f t="shared" si="0"/>
        <v>0</v>
      </c>
      <c r="O18" s="67">
        <v>0.1</v>
      </c>
      <c r="P18" s="66">
        <f t="shared" si="1"/>
        <v>0</v>
      </c>
      <c r="Q18" s="63">
        <f t="shared" si="2"/>
        <v>0</v>
      </c>
      <c r="R18" s="66">
        <f t="shared" si="13"/>
        <v>0</v>
      </c>
      <c r="S18" s="66">
        <f t="shared" si="3"/>
        <v>0</v>
      </c>
      <c r="T18" s="65">
        <f t="shared" si="14"/>
        <v>0</v>
      </c>
      <c r="U18" s="68">
        <f t="shared" si="15"/>
        <v>0</v>
      </c>
      <c r="V18" s="3"/>
      <c r="W18" s="88">
        <f t="shared" si="23"/>
        <v>1993</v>
      </c>
      <c r="X18" s="88">
        <f t="shared" si="16"/>
        <v>0</v>
      </c>
      <c r="Y18" s="90">
        <v>0.65707382526792135</v>
      </c>
      <c r="Z18" s="91">
        <f t="shared" si="4"/>
        <v>0</v>
      </c>
      <c r="AA18" s="88">
        <f t="shared" si="17"/>
        <v>0</v>
      </c>
      <c r="AB18" s="88">
        <f t="shared" si="18"/>
        <v>0</v>
      </c>
      <c r="AC18" s="88">
        <f t="shared" si="24"/>
        <v>0</v>
      </c>
      <c r="AD18" s="92">
        <v>0.1</v>
      </c>
      <c r="AE18" s="91">
        <f t="shared" si="6"/>
        <v>0</v>
      </c>
      <c r="AF18" s="88">
        <f t="shared" si="7"/>
        <v>0</v>
      </c>
      <c r="AG18" s="91">
        <f t="shared" si="19"/>
        <v>0</v>
      </c>
      <c r="AH18" s="91">
        <f t="shared" si="8"/>
        <v>0</v>
      </c>
      <c r="AI18" s="90">
        <f t="shared" si="20"/>
        <v>0</v>
      </c>
      <c r="AJ18" s="93">
        <f t="shared" si="21"/>
        <v>0</v>
      </c>
      <c r="AK18" s="3"/>
    </row>
    <row r="19" spans="1:37">
      <c r="H19" s="63">
        <f t="shared" si="22"/>
        <v>1994</v>
      </c>
      <c r="I19" s="63">
        <f t="shared" si="9"/>
        <v>0</v>
      </c>
      <c r="J19" s="65">
        <v>-0.13708160116856616</v>
      </c>
      <c r="K19" s="66">
        <f t="shared" si="10"/>
        <v>0</v>
      </c>
      <c r="L19" s="63">
        <f t="shared" si="11"/>
        <v>0</v>
      </c>
      <c r="M19" s="63">
        <f t="shared" si="12"/>
        <v>0</v>
      </c>
      <c r="N19" s="63">
        <f t="shared" si="0"/>
        <v>0</v>
      </c>
      <c r="O19" s="67">
        <v>0.11</v>
      </c>
      <c r="P19" s="66">
        <f t="shared" si="1"/>
        <v>0</v>
      </c>
      <c r="Q19" s="63">
        <f t="shared" si="2"/>
        <v>0</v>
      </c>
      <c r="R19" s="66">
        <f t="shared" si="13"/>
        <v>0</v>
      </c>
      <c r="S19" s="66">
        <f t="shared" si="3"/>
        <v>0</v>
      </c>
      <c r="T19" s="65">
        <f t="shared" si="14"/>
        <v>0</v>
      </c>
      <c r="U19" s="68">
        <f t="shared" si="15"/>
        <v>0</v>
      </c>
      <c r="V19" s="3"/>
      <c r="W19" s="88">
        <f t="shared" si="23"/>
        <v>1994</v>
      </c>
      <c r="X19" s="88">
        <f t="shared" si="16"/>
        <v>0</v>
      </c>
      <c r="Y19" s="90">
        <v>-0.13708160116856616</v>
      </c>
      <c r="Z19" s="91">
        <f t="shared" si="4"/>
        <v>0</v>
      </c>
      <c r="AA19" s="88">
        <f t="shared" si="17"/>
        <v>0</v>
      </c>
      <c r="AB19" s="88">
        <f t="shared" si="18"/>
        <v>0</v>
      </c>
      <c r="AC19" s="88">
        <f t="shared" si="24"/>
        <v>0</v>
      </c>
      <c r="AD19" s="92">
        <v>0.11</v>
      </c>
      <c r="AE19" s="91">
        <f t="shared" si="6"/>
        <v>0</v>
      </c>
      <c r="AF19" s="88">
        <f t="shared" si="7"/>
        <v>0</v>
      </c>
      <c r="AG19" s="91">
        <f t="shared" si="19"/>
        <v>0</v>
      </c>
      <c r="AH19" s="91">
        <f t="shared" si="8"/>
        <v>0</v>
      </c>
      <c r="AI19" s="90">
        <f t="shared" si="20"/>
        <v>0</v>
      </c>
      <c r="AJ19" s="93">
        <f t="shared" si="21"/>
        <v>0</v>
      </c>
      <c r="AK19" s="3"/>
    </row>
    <row r="20" spans="1:37">
      <c r="A20" s="45" t="s">
        <v>25</v>
      </c>
      <c r="B20" s="46">
        <f>NPER((1+rate)/(1+inf)-1,-exp*12,corp1,,1)</f>
        <v>9.4076174711254517</v>
      </c>
      <c r="D20" s="183" t="s">
        <v>59</v>
      </c>
      <c r="E20" s="132"/>
      <c r="F20" s="132"/>
      <c r="G20" s="184"/>
      <c r="H20" s="63">
        <f t="shared" si="22"/>
        <v>1995</v>
      </c>
      <c r="I20" s="63">
        <f t="shared" si="9"/>
        <v>0</v>
      </c>
      <c r="J20" s="65">
        <v>3.2398434816741109E-2</v>
      </c>
      <c r="K20" s="66">
        <f t="shared" si="10"/>
        <v>0</v>
      </c>
      <c r="L20" s="63">
        <f t="shared" si="11"/>
        <v>0</v>
      </c>
      <c r="M20" s="63">
        <f t="shared" si="12"/>
        <v>0</v>
      </c>
      <c r="N20" s="63">
        <f t="shared" si="0"/>
        <v>0</v>
      </c>
      <c r="O20" s="67">
        <v>0.12</v>
      </c>
      <c r="P20" s="66">
        <f t="shared" si="1"/>
        <v>0</v>
      </c>
      <c r="Q20" s="63">
        <f t="shared" si="2"/>
        <v>0</v>
      </c>
      <c r="R20" s="66">
        <f t="shared" si="13"/>
        <v>0</v>
      </c>
      <c r="S20" s="66">
        <f t="shared" si="3"/>
        <v>0</v>
      </c>
      <c r="T20" s="65">
        <f t="shared" si="14"/>
        <v>0</v>
      </c>
      <c r="U20" s="68">
        <f t="shared" si="15"/>
        <v>0</v>
      </c>
      <c r="V20" s="3"/>
      <c r="W20" s="88">
        <f t="shared" si="23"/>
        <v>1995</v>
      </c>
      <c r="X20" s="88">
        <f t="shared" si="16"/>
        <v>0</v>
      </c>
      <c r="Y20" s="90">
        <v>3.2398434816741109E-2</v>
      </c>
      <c r="Z20" s="91">
        <f t="shared" si="4"/>
        <v>0</v>
      </c>
      <c r="AA20" s="88">
        <f t="shared" si="17"/>
        <v>0</v>
      </c>
      <c r="AB20" s="88">
        <f t="shared" si="18"/>
        <v>0</v>
      </c>
      <c r="AC20" s="88">
        <f t="shared" si="24"/>
        <v>0</v>
      </c>
      <c r="AD20" s="92">
        <v>0.12</v>
      </c>
      <c r="AE20" s="91">
        <f t="shared" si="6"/>
        <v>0</v>
      </c>
      <c r="AF20" s="88">
        <f t="shared" si="7"/>
        <v>0</v>
      </c>
      <c r="AG20" s="91">
        <f t="shared" si="19"/>
        <v>0</v>
      </c>
      <c r="AH20" s="91">
        <f t="shared" si="8"/>
        <v>0</v>
      </c>
      <c r="AI20" s="90">
        <f t="shared" si="20"/>
        <v>0</v>
      </c>
      <c r="AJ20" s="93">
        <f t="shared" si="21"/>
        <v>0</v>
      </c>
      <c r="AK20" s="3"/>
    </row>
    <row r="21" spans="1:37">
      <c r="A21" s="45" t="s">
        <v>31</v>
      </c>
      <c r="B21" s="46">
        <f>NPER((1+rate)/(1+inf)-1,-exp*12,corp2,,1)</f>
        <v>10.27010571392165</v>
      </c>
      <c r="C21" s="8" t="s">
        <v>93</v>
      </c>
      <c r="D21" s="8"/>
      <c r="E21" s="8"/>
      <c r="F21" s="8"/>
      <c r="G21" s="185"/>
      <c r="H21" s="63">
        <f t="shared" si="22"/>
        <v>1996</v>
      </c>
      <c r="I21" s="63">
        <f t="shared" si="9"/>
        <v>0</v>
      </c>
      <c r="J21" s="65">
        <v>-1.6990384986678749E-3</v>
      </c>
      <c r="K21" s="66">
        <f t="shared" si="10"/>
        <v>0</v>
      </c>
      <c r="L21" s="63">
        <f t="shared" si="11"/>
        <v>0</v>
      </c>
      <c r="M21" s="63">
        <f t="shared" si="12"/>
        <v>0</v>
      </c>
      <c r="N21" s="63">
        <f t="shared" si="0"/>
        <v>0</v>
      </c>
      <c r="O21" s="67">
        <v>0.12</v>
      </c>
      <c r="P21" s="66">
        <f t="shared" si="1"/>
        <v>0</v>
      </c>
      <c r="Q21" s="63">
        <f t="shared" si="2"/>
        <v>0</v>
      </c>
      <c r="R21" s="66">
        <f t="shared" si="13"/>
        <v>0</v>
      </c>
      <c r="S21" s="66">
        <f t="shared" si="3"/>
        <v>0</v>
      </c>
      <c r="T21" s="65">
        <f t="shared" si="14"/>
        <v>0</v>
      </c>
      <c r="U21" s="68">
        <f t="shared" si="15"/>
        <v>0</v>
      </c>
      <c r="V21" s="3"/>
      <c r="W21" s="88">
        <f t="shared" si="23"/>
        <v>1996</v>
      </c>
      <c r="X21" s="88">
        <f t="shared" si="16"/>
        <v>0</v>
      </c>
      <c r="Y21" s="90">
        <v>-1.6990384986678749E-3</v>
      </c>
      <c r="Z21" s="91">
        <f t="shared" si="4"/>
        <v>0</v>
      </c>
      <c r="AA21" s="88">
        <f t="shared" si="17"/>
        <v>0</v>
      </c>
      <c r="AB21" s="88">
        <f t="shared" si="18"/>
        <v>0</v>
      </c>
      <c r="AC21" s="88">
        <f t="shared" si="24"/>
        <v>0</v>
      </c>
      <c r="AD21" s="92">
        <v>0.12</v>
      </c>
      <c r="AE21" s="91">
        <f t="shared" si="6"/>
        <v>0</v>
      </c>
      <c r="AF21" s="88">
        <f t="shared" si="7"/>
        <v>0</v>
      </c>
      <c r="AG21" s="91">
        <f t="shared" si="19"/>
        <v>0</v>
      </c>
      <c r="AH21" s="91">
        <f t="shared" si="8"/>
        <v>0</v>
      </c>
      <c r="AI21" s="90">
        <f t="shared" si="20"/>
        <v>0</v>
      </c>
      <c r="AJ21" s="93">
        <f t="shared" si="21"/>
        <v>0</v>
      </c>
      <c r="AK21" s="3"/>
    </row>
    <row r="22" spans="1:37">
      <c r="A22" s="186" t="s">
        <v>105</v>
      </c>
      <c r="B22" s="8"/>
      <c r="C22" s="8"/>
      <c r="D22" s="8"/>
      <c r="E22" s="8"/>
      <c r="F22" s="8"/>
      <c r="G22" s="185"/>
      <c r="H22" s="63">
        <f t="shared" si="22"/>
        <v>1997</v>
      </c>
      <c r="I22" s="63">
        <f t="shared" si="9"/>
        <v>1</v>
      </c>
      <c r="J22" s="65">
        <v>0.15824974932235217</v>
      </c>
      <c r="K22" s="66">
        <f t="shared" si="10"/>
        <v>5000</v>
      </c>
      <c r="L22" s="63">
        <f t="shared" si="11"/>
        <v>60000</v>
      </c>
      <c r="M22" s="63">
        <f t="shared" si="12"/>
        <v>69494.984959341135</v>
      </c>
      <c r="N22" s="63">
        <f t="shared" si="0"/>
        <v>0</v>
      </c>
      <c r="O22" s="67">
        <v>0.11</v>
      </c>
      <c r="P22" s="66">
        <f t="shared" si="1"/>
        <v>5000</v>
      </c>
      <c r="Q22" s="63">
        <f t="shared" si="2"/>
        <v>60000</v>
      </c>
      <c r="R22" s="66">
        <f t="shared" si="13"/>
        <v>66600</v>
      </c>
      <c r="S22" s="66">
        <f t="shared" si="3"/>
        <v>0</v>
      </c>
      <c r="T22" s="65">
        <f t="shared" si="14"/>
        <v>0.5106358987445645</v>
      </c>
      <c r="U22" s="68">
        <f t="shared" si="15"/>
        <v>0.48936410125543567</v>
      </c>
      <c r="V22" s="3"/>
      <c r="W22" s="88">
        <f t="shared" si="23"/>
        <v>1997</v>
      </c>
      <c r="X22" s="88">
        <f t="shared" si="16"/>
        <v>1</v>
      </c>
      <c r="Y22" s="90">
        <v>0.15824974932235217</v>
      </c>
      <c r="Z22" s="91">
        <f t="shared" si="4"/>
        <v>5000</v>
      </c>
      <c r="AA22" s="88">
        <f t="shared" si="17"/>
        <v>60000</v>
      </c>
      <c r="AB22" s="88">
        <f t="shared" si="18"/>
        <v>69494.984959341135</v>
      </c>
      <c r="AC22" s="88">
        <f t="shared" si="24"/>
        <v>0</v>
      </c>
      <c r="AD22" s="92">
        <v>0.11</v>
      </c>
      <c r="AE22" s="91">
        <f t="shared" si="6"/>
        <v>5000</v>
      </c>
      <c r="AF22" s="88">
        <f t="shared" si="7"/>
        <v>60000</v>
      </c>
      <c r="AG22" s="91">
        <f t="shared" si="19"/>
        <v>66600</v>
      </c>
      <c r="AH22" s="91">
        <f t="shared" si="8"/>
        <v>0</v>
      </c>
      <c r="AI22" s="90">
        <f t="shared" si="20"/>
        <v>0.5106358987445645</v>
      </c>
      <c r="AJ22" s="93">
        <f t="shared" si="21"/>
        <v>0.48936410125543567</v>
      </c>
      <c r="AK22" s="3"/>
    </row>
    <row r="23" spans="1:37">
      <c r="A23" s="187" t="s">
        <v>106</v>
      </c>
      <c r="B23" s="188"/>
      <c r="C23" s="188"/>
      <c r="D23" s="188"/>
      <c r="E23" s="188"/>
      <c r="F23" s="188"/>
      <c r="G23" s="189"/>
      <c r="H23" s="63">
        <f t="shared" si="22"/>
        <v>1998</v>
      </c>
      <c r="I23" s="63">
        <f t="shared" si="9"/>
        <v>2</v>
      </c>
      <c r="J23" s="65">
        <v>-3.9249887611585633E-2</v>
      </c>
      <c r="K23" s="66">
        <f t="shared" si="10"/>
        <v>5000</v>
      </c>
      <c r="L23" s="63">
        <f t="shared" si="11"/>
        <v>60000</v>
      </c>
      <c r="M23" s="63">
        <f t="shared" si="12"/>
        <v>124412.32135342302</v>
      </c>
      <c r="N23" s="63">
        <f t="shared" si="0"/>
        <v>0</v>
      </c>
      <c r="O23" s="67">
        <v>0.105</v>
      </c>
      <c r="P23" s="66">
        <f t="shared" si="1"/>
        <v>5000</v>
      </c>
      <c r="Q23" s="63">
        <f t="shared" si="2"/>
        <v>60000</v>
      </c>
      <c r="R23" s="66">
        <f t="shared" si="13"/>
        <v>139893</v>
      </c>
      <c r="S23" s="66">
        <f t="shared" si="3"/>
        <v>0</v>
      </c>
      <c r="T23" s="65">
        <f t="shared" si="14"/>
        <v>0.47071440225398153</v>
      </c>
      <c r="U23" s="68">
        <f t="shared" si="15"/>
        <v>0.52928559774601847</v>
      </c>
      <c r="V23" s="3"/>
      <c r="W23" s="88">
        <f t="shared" si="23"/>
        <v>1998</v>
      </c>
      <c r="X23" s="88">
        <f t="shared" si="16"/>
        <v>2</v>
      </c>
      <c r="Y23" s="90">
        <v>-3.9249887611585633E-2</v>
      </c>
      <c r="Z23" s="91">
        <f t="shared" si="4"/>
        <v>5000</v>
      </c>
      <c r="AA23" s="88">
        <f t="shared" si="17"/>
        <v>60000</v>
      </c>
      <c r="AB23" s="88">
        <f t="shared" si="18"/>
        <v>123021.64279089813</v>
      </c>
      <c r="AC23" s="88">
        <f t="shared" si="24"/>
        <v>0</v>
      </c>
      <c r="AD23" s="92">
        <v>0.105</v>
      </c>
      <c r="AE23" s="91">
        <f t="shared" si="6"/>
        <v>5000</v>
      </c>
      <c r="AF23" s="88">
        <f t="shared" si="7"/>
        <v>60000</v>
      </c>
      <c r="AG23" s="91">
        <f t="shared" si="19"/>
        <v>141492.47919003596</v>
      </c>
      <c r="AH23" s="91">
        <f t="shared" si="8"/>
        <v>0</v>
      </c>
      <c r="AI23" s="90">
        <f t="shared" si="20"/>
        <v>0.46508534920402256</v>
      </c>
      <c r="AJ23" s="93">
        <f t="shared" si="21"/>
        <v>0.53491465079597755</v>
      </c>
      <c r="AK23" s="3"/>
    </row>
    <row r="24" spans="1:37" ht="15" thickBot="1">
      <c r="H24" s="63">
        <f t="shared" si="22"/>
        <v>1999</v>
      </c>
      <c r="I24" s="63">
        <f t="shared" si="9"/>
        <v>3</v>
      </c>
      <c r="J24" s="65">
        <v>0.33725494390314326</v>
      </c>
      <c r="K24" s="66">
        <f t="shared" si="10"/>
        <v>5000</v>
      </c>
      <c r="L24" s="63">
        <f t="shared" si="11"/>
        <v>60000</v>
      </c>
      <c r="M24" s="63">
        <f t="shared" si="12"/>
        <v>246606.28844652014</v>
      </c>
      <c r="N24" s="63">
        <f t="shared" si="0"/>
        <v>0</v>
      </c>
      <c r="O24" s="67">
        <v>8.5000000000000006E-2</v>
      </c>
      <c r="P24" s="66">
        <f t="shared" si="1"/>
        <v>5000</v>
      </c>
      <c r="Q24" s="63">
        <f t="shared" si="2"/>
        <v>60000</v>
      </c>
      <c r="R24" s="66">
        <f t="shared" si="13"/>
        <v>216883.905</v>
      </c>
      <c r="S24" s="66">
        <f t="shared" si="3"/>
        <v>0</v>
      </c>
      <c r="T24" s="65">
        <f t="shared" si="14"/>
        <v>0.53206365945469525</v>
      </c>
      <c r="U24" s="68">
        <f t="shared" si="15"/>
        <v>0.4679363405453047</v>
      </c>
      <c r="V24" s="3"/>
      <c r="W24" s="88">
        <f t="shared" si="23"/>
        <v>1999</v>
      </c>
      <c r="X24" s="88">
        <f t="shared" si="16"/>
        <v>3</v>
      </c>
      <c r="Y24" s="90">
        <v>0.33725494390314326</v>
      </c>
      <c r="Z24" s="91">
        <f t="shared" si="4"/>
        <v>5000</v>
      </c>
      <c r="AA24" s="88">
        <f t="shared" si="17"/>
        <v>60000</v>
      </c>
      <c r="AB24" s="88">
        <f t="shared" si="18"/>
        <v>257096.70530979021</v>
      </c>
      <c r="AC24" s="88">
        <f t="shared" si="24"/>
        <v>0</v>
      </c>
      <c r="AD24" s="92">
        <v>8.5000000000000006E-2</v>
      </c>
      <c r="AE24" s="91">
        <f t="shared" si="6"/>
        <v>5000</v>
      </c>
      <c r="AF24" s="88">
        <f t="shared" si="7"/>
        <v>60000</v>
      </c>
      <c r="AG24" s="91">
        <f t="shared" si="19"/>
        <v>208598.91117465671</v>
      </c>
      <c r="AH24" s="91">
        <f t="shared" si="8"/>
        <v>0</v>
      </c>
      <c r="AI24" s="90">
        <f t="shared" si="20"/>
        <v>0.55207027124417141</v>
      </c>
      <c r="AJ24" s="93">
        <f t="shared" si="21"/>
        <v>0.44792972875582865</v>
      </c>
      <c r="AK24" s="3"/>
    </row>
    <row r="25" spans="1:37">
      <c r="A25" s="217" t="s">
        <v>119</v>
      </c>
      <c r="B25" s="218"/>
      <c r="C25" s="218"/>
      <c r="D25" s="135"/>
      <c r="E25" s="136"/>
      <c r="H25" s="63">
        <f t="shared" si="22"/>
        <v>2000</v>
      </c>
      <c r="I25" s="63">
        <f t="shared" si="9"/>
        <v>4</v>
      </c>
      <c r="J25" s="65">
        <v>-0.27930849702476163</v>
      </c>
      <c r="K25" s="66">
        <f t="shared" si="10"/>
        <v>5000</v>
      </c>
      <c r="L25" s="63">
        <f t="shared" si="11"/>
        <v>60000</v>
      </c>
      <c r="M25" s="63">
        <f t="shared" si="12"/>
        <v>220968.54684218203</v>
      </c>
      <c r="N25" s="63">
        <f t="shared" si="0"/>
        <v>0</v>
      </c>
      <c r="O25" s="67">
        <v>8.5000000000000006E-2</v>
      </c>
      <c r="P25" s="66">
        <f t="shared" si="1"/>
        <v>5000</v>
      </c>
      <c r="Q25" s="63">
        <f t="shared" si="2"/>
        <v>60000</v>
      </c>
      <c r="R25" s="66">
        <f t="shared" si="13"/>
        <v>300419.03692500002</v>
      </c>
      <c r="S25" s="66">
        <f t="shared" si="3"/>
        <v>0</v>
      </c>
      <c r="T25" s="65">
        <f t="shared" si="14"/>
        <v>0.42380860941416715</v>
      </c>
      <c r="U25" s="68">
        <f t="shared" si="15"/>
        <v>0.5761913905858328</v>
      </c>
      <c r="V25" s="3"/>
      <c r="W25" s="88">
        <f t="shared" si="23"/>
        <v>2000</v>
      </c>
      <c r="X25" s="88">
        <f t="shared" si="16"/>
        <v>4</v>
      </c>
      <c r="Y25" s="90">
        <v>-0.27930849702476163</v>
      </c>
      <c r="Z25" s="91">
        <f t="shared" si="4"/>
        <v>5000</v>
      </c>
      <c r="AA25" s="88">
        <f t="shared" si="17"/>
        <v>60000</v>
      </c>
      <c r="AB25" s="88">
        <f t="shared" si="18"/>
        <v>211052.9270650924</v>
      </c>
      <c r="AC25" s="88">
        <f t="shared" si="24"/>
        <v>0</v>
      </c>
      <c r="AD25" s="92">
        <v>8.5000000000000006E-2</v>
      </c>
      <c r="AE25" s="91">
        <f t="shared" si="6"/>
        <v>5000</v>
      </c>
      <c r="AF25" s="88">
        <f t="shared" si="7"/>
        <v>60000</v>
      </c>
      <c r="AG25" s="91">
        <f t="shared" si="19"/>
        <v>317739.87194281246</v>
      </c>
      <c r="AH25" s="91">
        <f t="shared" si="8"/>
        <v>0</v>
      </c>
      <c r="AI25" s="90">
        <f t="shared" si="20"/>
        <v>0.39912216554586138</v>
      </c>
      <c r="AJ25" s="93">
        <f t="shared" si="21"/>
        <v>0.60087783445413867</v>
      </c>
      <c r="AK25" s="3"/>
    </row>
    <row r="26" spans="1:37">
      <c r="A26" s="215" t="s">
        <v>120</v>
      </c>
      <c r="B26" s="216"/>
      <c r="C26" s="216"/>
      <c r="D26" s="137"/>
      <c r="E26" s="138"/>
      <c r="H26" s="63">
        <f t="shared" si="22"/>
        <v>2001</v>
      </c>
      <c r="I26" s="63">
        <f t="shared" si="9"/>
        <v>5</v>
      </c>
      <c r="J26" s="65">
        <v>-3.7462753649726219E-2</v>
      </c>
      <c r="K26" s="66">
        <f t="shared" si="10"/>
        <v>5000</v>
      </c>
      <c r="L26" s="63">
        <f t="shared" si="11"/>
        <v>60000</v>
      </c>
      <c r="M26" s="63">
        <f t="shared" si="12"/>
        <v>270442.69138851186</v>
      </c>
      <c r="N26" s="63">
        <f t="shared" si="0"/>
        <v>0</v>
      </c>
      <c r="O26" s="67">
        <v>7.4999999999999997E-2</v>
      </c>
      <c r="P26" s="66">
        <f t="shared" si="1"/>
        <v>5000</v>
      </c>
      <c r="Q26" s="63">
        <f t="shared" si="2"/>
        <v>60000</v>
      </c>
      <c r="R26" s="66">
        <f t="shared" si="13"/>
        <v>387450.464694375</v>
      </c>
      <c r="S26" s="66">
        <f t="shared" si="3"/>
        <v>0</v>
      </c>
      <c r="T26" s="65">
        <f t="shared" si="14"/>
        <v>0.4110738786199491</v>
      </c>
      <c r="U26" s="68">
        <f t="shared" si="15"/>
        <v>0.58892612138005085</v>
      </c>
      <c r="V26" s="3"/>
      <c r="W26" s="88">
        <f t="shared" si="23"/>
        <v>2001</v>
      </c>
      <c r="X26" s="88">
        <f t="shared" si="16"/>
        <v>5</v>
      </c>
      <c r="Y26" s="90">
        <v>-3.7462753649726219E-2</v>
      </c>
      <c r="Z26" s="91">
        <f t="shared" si="4"/>
        <v>5000</v>
      </c>
      <c r="AA26" s="88">
        <f t="shared" si="17"/>
        <v>60000</v>
      </c>
      <c r="AB26" s="88">
        <f t="shared" si="18"/>
        <v>312243.61710447771</v>
      </c>
      <c r="AC26" s="88">
        <f t="shared" si="24"/>
        <v>0</v>
      </c>
      <c r="AD26" s="92">
        <v>7.4999999999999997E-2</v>
      </c>
      <c r="AE26" s="91">
        <f t="shared" si="6"/>
        <v>5000</v>
      </c>
      <c r="AF26" s="88">
        <f t="shared" si="7"/>
        <v>60000</v>
      </c>
      <c r="AG26" s="91">
        <f t="shared" si="19"/>
        <v>348726.12946674885</v>
      </c>
      <c r="AH26" s="91">
        <f t="shared" si="8"/>
        <v>0</v>
      </c>
      <c r="AI26" s="90">
        <f t="shared" si="20"/>
        <v>0.47240228274325435</v>
      </c>
      <c r="AJ26" s="93">
        <f t="shared" si="21"/>
        <v>0.52759771725674576</v>
      </c>
      <c r="AK26" s="3"/>
    </row>
    <row r="27" spans="1:37">
      <c r="A27" s="215" t="s">
        <v>121</v>
      </c>
      <c r="B27" s="216"/>
      <c r="C27" s="216"/>
      <c r="D27" s="137"/>
      <c r="E27" s="138"/>
      <c r="H27" s="63">
        <f t="shared" si="22"/>
        <v>2002</v>
      </c>
      <c r="I27" s="63">
        <f t="shared" si="9"/>
        <v>6</v>
      </c>
      <c r="J27" s="65">
        <v>-0.12124173116001562</v>
      </c>
      <c r="K27" s="66">
        <f t="shared" si="10"/>
        <v>5000</v>
      </c>
      <c r="L27" s="63">
        <f t="shared" si="11"/>
        <v>60000</v>
      </c>
      <c r="M27" s="63">
        <f t="shared" si="12"/>
        <v>290379.24743539392</v>
      </c>
      <c r="N27" s="63">
        <f t="shared" si="0"/>
        <v>0</v>
      </c>
      <c r="O27" s="67">
        <v>4.2500000000000003E-2</v>
      </c>
      <c r="P27" s="66">
        <f t="shared" si="1"/>
        <v>5000</v>
      </c>
      <c r="Q27" s="63">
        <f t="shared" si="2"/>
        <v>60000</v>
      </c>
      <c r="R27" s="66">
        <f t="shared" si="13"/>
        <v>466467.10944388591</v>
      </c>
      <c r="S27" s="66">
        <f t="shared" si="3"/>
        <v>0</v>
      </c>
      <c r="T27" s="65">
        <f t="shared" si="14"/>
        <v>0.3836700075200476</v>
      </c>
      <c r="U27" s="68">
        <f t="shared" si="15"/>
        <v>0.61632999247995246</v>
      </c>
      <c r="V27" s="3"/>
      <c r="W27" s="88">
        <f t="shared" si="23"/>
        <v>2002</v>
      </c>
      <c r="X27" s="88">
        <f t="shared" si="16"/>
        <v>6</v>
      </c>
      <c r="Y27" s="90">
        <v>-0.12124173116001562</v>
      </c>
      <c r="Z27" s="91">
        <f t="shared" si="4"/>
        <v>5000</v>
      </c>
      <c r="AA27" s="88">
        <f t="shared" si="17"/>
        <v>60000</v>
      </c>
      <c r="AB27" s="88">
        <f t="shared" si="18"/>
        <v>343141.8112566662</v>
      </c>
      <c r="AC27" s="88">
        <f t="shared" si="24"/>
        <v>0</v>
      </c>
      <c r="AD27" s="92">
        <v>4.2500000000000003E-2</v>
      </c>
      <c r="AE27" s="91">
        <f t="shared" si="6"/>
        <v>5000</v>
      </c>
      <c r="AF27" s="88">
        <f t="shared" si="7"/>
        <v>60000</v>
      </c>
      <c r="AG27" s="91">
        <f t="shared" si="19"/>
        <v>407080.48040025181</v>
      </c>
      <c r="AH27" s="91">
        <f t="shared" si="8"/>
        <v>0</v>
      </c>
      <c r="AI27" s="90">
        <f t="shared" si="20"/>
        <v>0.45738685063438156</v>
      </c>
      <c r="AJ27" s="93">
        <f t="shared" si="21"/>
        <v>0.54261314936561844</v>
      </c>
      <c r="AK27" s="3"/>
    </row>
    <row r="28" spans="1:37" ht="15" thickBot="1">
      <c r="A28" s="160">
        <f>D3</f>
        <v>1980</v>
      </c>
      <c r="B28" s="141" t="s">
        <v>11</v>
      </c>
      <c r="C28" s="161">
        <f>F3</f>
        <v>1997</v>
      </c>
      <c r="D28" s="139"/>
      <c r="E28" s="140"/>
      <c r="H28" s="63">
        <f t="shared" si="22"/>
        <v>2003</v>
      </c>
      <c r="I28" s="63">
        <f t="shared" si="9"/>
        <v>7</v>
      </c>
      <c r="J28" s="65">
        <v>0.8337531816631244</v>
      </c>
      <c r="K28" s="66">
        <f t="shared" si="10"/>
        <v>5000</v>
      </c>
      <c r="L28" s="63">
        <f t="shared" si="11"/>
        <v>60000</v>
      </c>
      <c r="M28" s="63">
        <f t="shared" si="12"/>
        <v>642509.05977338471</v>
      </c>
      <c r="N28" s="63">
        <f t="shared" si="0"/>
        <v>0</v>
      </c>
      <c r="O28" s="67">
        <v>0.04</v>
      </c>
      <c r="P28" s="66">
        <f t="shared" si="1"/>
        <v>5000</v>
      </c>
      <c r="Q28" s="63">
        <f t="shared" si="2"/>
        <v>60000</v>
      </c>
      <c r="R28" s="66">
        <f t="shared" si="13"/>
        <v>547525.79382164148</v>
      </c>
      <c r="S28" s="66">
        <f t="shared" si="3"/>
        <v>0</v>
      </c>
      <c r="T28" s="65">
        <f t="shared" si="14"/>
        <v>0.53990776642583371</v>
      </c>
      <c r="U28" s="68">
        <f t="shared" si="15"/>
        <v>0.46009223357416618</v>
      </c>
      <c r="V28" s="3"/>
      <c r="W28" s="88">
        <f t="shared" si="23"/>
        <v>2003</v>
      </c>
      <c r="X28" s="88">
        <f t="shared" si="16"/>
        <v>7</v>
      </c>
      <c r="Y28" s="90">
        <v>0.8337531816631244</v>
      </c>
      <c r="Z28" s="91">
        <f t="shared" si="4"/>
        <v>5000</v>
      </c>
      <c r="AA28" s="88">
        <f t="shared" si="17"/>
        <v>60000</v>
      </c>
      <c r="AB28" s="88">
        <f t="shared" si="18"/>
        <v>797886.44804002438</v>
      </c>
      <c r="AC28" s="88">
        <f t="shared" si="24"/>
        <v>0</v>
      </c>
      <c r="AD28" s="92">
        <v>0.04</v>
      </c>
      <c r="AE28" s="91">
        <f t="shared" si="6"/>
        <v>5000</v>
      </c>
      <c r="AF28" s="88">
        <f t="shared" si="7"/>
        <v>60000</v>
      </c>
      <c r="AG28" s="91">
        <f t="shared" si="19"/>
        <v>452515.59166159737</v>
      </c>
      <c r="AH28" s="91">
        <f t="shared" si="8"/>
        <v>0</v>
      </c>
      <c r="AI28" s="90">
        <f t="shared" si="20"/>
        <v>0.63810392394307092</v>
      </c>
      <c r="AJ28" s="93">
        <f t="shared" si="21"/>
        <v>0.36189607605692908</v>
      </c>
      <c r="AK28" s="3"/>
    </row>
    <row r="29" spans="1:37">
      <c r="H29" s="63">
        <f t="shared" si="22"/>
        <v>2004</v>
      </c>
      <c r="I29" s="63">
        <f t="shared" si="9"/>
        <v>8</v>
      </c>
      <c r="J29" s="65">
        <v>0.16138160483669003</v>
      </c>
      <c r="K29" s="66">
        <f t="shared" si="10"/>
        <v>5000</v>
      </c>
      <c r="L29" s="63">
        <f t="shared" si="11"/>
        <v>60000</v>
      </c>
      <c r="M29" s="63">
        <f t="shared" si="12"/>
        <v>815881.09925192781</v>
      </c>
      <c r="N29" s="63">
        <f t="shared" si="0"/>
        <v>0</v>
      </c>
      <c r="O29" s="67">
        <v>5.2499999999999998E-2</v>
      </c>
      <c r="P29" s="66">
        <f t="shared" si="1"/>
        <v>5000</v>
      </c>
      <c r="Q29" s="63">
        <f t="shared" si="2"/>
        <v>60000</v>
      </c>
      <c r="R29" s="66">
        <f t="shared" si="13"/>
        <v>639420.89799727767</v>
      </c>
      <c r="S29" s="66">
        <f t="shared" si="3"/>
        <v>0</v>
      </c>
      <c r="T29" s="65">
        <f t="shared" si="14"/>
        <v>0.56062666085396462</v>
      </c>
      <c r="U29" s="68">
        <f t="shared" si="15"/>
        <v>0.43937333914603527</v>
      </c>
      <c r="V29" s="3"/>
      <c r="W29" s="88">
        <f t="shared" si="23"/>
        <v>2004</v>
      </c>
      <c r="X29" s="88">
        <f t="shared" si="16"/>
        <v>8</v>
      </c>
      <c r="Y29" s="90">
        <v>0.16138160483669003</v>
      </c>
      <c r="Z29" s="91">
        <f t="shared" si="4"/>
        <v>5000</v>
      </c>
      <c r="AA29" s="88">
        <f t="shared" si="17"/>
        <v>60000</v>
      </c>
      <c r="AB29" s="88">
        <f t="shared" si="18"/>
        <v>795779.86007007142</v>
      </c>
      <c r="AC29" s="88">
        <f t="shared" si="24"/>
        <v>0</v>
      </c>
      <c r="AD29" s="92">
        <v>5.2499999999999998E-2</v>
      </c>
      <c r="AE29" s="91">
        <f t="shared" si="6"/>
        <v>5000</v>
      </c>
      <c r="AF29" s="88">
        <f t="shared" si="7"/>
        <v>60000</v>
      </c>
      <c r="AG29" s="91">
        <f t="shared" si="19"/>
        <v>721174.0733929784</v>
      </c>
      <c r="AH29" s="91">
        <f t="shared" si="8"/>
        <v>0</v>
      </c>
      <c r="AI29" s="90">
        <f t="shared" si="20"/>
        <v>0.52459065665454185</v>
      </c>
      <c r="AJ29" s="93">
        <f t="shared" si="21"/>
        <v>0.4754093433454582</v>
      </c>
      <c r="AK29" s="3"/>
    </row>
    <row r="30" spans="1:37">
      <c r="A30" s="131" t="s">
        <v>123</v>
      </c>
      <c r="B30" s="132"/>
      <c r="C30" s="133">
        <f>AVERAGE(B33:B64)</f>
        <v>0.13054108980519619</v>
      </c>
      <c r="H30" s="63">
        <f t="shared" si="22"/>
        <v>2005</v>
      </c>
      <c r="I30" s="63">
        <f t="shared" si="9"/>
        <v>9</v>
      </c>
      <c r="J30" s="65">
        <v>0.737303667743754</v>
      </c>
      <c r="K30" s="66">
        <f t="shared" si="10"/>
        <v>5000</v>
      </c>
      <c r="L30" s="63">
        <f t="shared" si="11"/>
        <v>60000</v>
      </c>
      <c r="M30" s="63">
        <f t="shared" si="12"/>
        <v>1521671.4462378051</v>
      </c>
      <c r="N30" s="63">
        <f t="shared" si="0"/>
        <v>0</v>
      </c>
      <c r="O30" s="67">
        <v>0.06</v>
      </c>
      <c r="P30" s="66">
        <f t="shared" si="1"/>
        <v>5000</v>
      </c>
      <c r="Q30" s="63">
        <f t="shared" si="2"/>
        <v>60000</v>
      </c>
      <c r="R30" s="66">
        <f t="shared" si="13"/>
        <v>741386.15187711432</v>
      </c>
      <c r="S30" s="66">
        <f t="shared" si="3"/>
        <v>0</v>
      </c>
      <c r="T30" s="65">
        <f t="shared" si="14"/>
        <v>0.67239625164879857</v>
      </c>
      <c r="U30" s="68">
        <f t="shared" si="15"/>
        <v>0.32760374835120137</v>
      </c>
      <c r="V30" s="3"/>
      <c r="W30" s="88">
        <f t="shared" si="23"/>
        <v>2005</v>
      </c>
      <c r="X30" s="88">
        <f t="shared" si="16"/>
        <v>9</v>
      </c>
      <c r="Y30" s="90">
        <v>0.737303667743754</v>
      </c>
      <c r="Z30" s="91">
        <f t="shared" si="4"/>
        <v>5000</v>
      </c>
      <c r="AA30" s="88">
        <f t="shared" si="17"/>
        <v>60000</v>
      </c>
      <c r="AB30" s="88">
        <f t="shared" si="18"/>
        <v>1421943.0362664605</v>
      </c>
      <c r="AC30" s="88">
        <f t="shared" si="24"/>
        <v>0</v>
      </c>
      <c r="AD30" s="92">
        <v>0.06</v>
      </c>
      <c r="AE30" s="91">
        <f t="shared" si="6"/>
        <v>5000</v>
      </c>
      <c r="AF30" s="88">
        <f t="shared" si="7"/>
        <v>60000</v>
      </c>
      <c r="AG30" s="91">
        <f t="shared" si="19"/>
        <v>867585.58473541646</v>
      </c>
      <c r="AH30" s="91">
        <f t="shared" si="8"/>
        <v>0</v>
      </c>
      <c r="AI30" s="90">
        <f t="shared" si="20"/>
        <v>0.62106366490593645</v>
      </c>
      <c r="AJ30" s="93">
        <f t="shared" si="21"/>
        <v>0.37893633509406355</v>
      </c>
      <c r="AK30" s="3"/>
    </row>
    <row r="31" spans="1:37">
      <c r="A31" s="38" t="s">
        <v>124</v>
      </c>
      <c r="B31" s="38"/>
      <c r="C31" s="38"/>
      <c r="D31" s="134">
        <f>AVERAGE(C33:C64)</f>
        <v>1.51723769672042</v>
      </c>
      <c r="H31" s="63">
        <f t="shared" si="22"/>
        <v>2006</v>
      </c>
      <c r="I31" s="63">
        <f t="shared" si="9"/>
        <v>10</v>
      </c>
      <c r="J31" s="65">
        <v>0.15887411347517733</v>
      </c>
      <c r="K31" s="66">
        <f t="shared" si="10"/>
        <v>5000</v>
      </c>
      <c r="L31" s="63">
        <f t="shared" si="11"/>
        <v>60000</v>
      </c>
      <c r="M31" s="63">
        <f t="shared" si="12"/>
        <v>1832958.0950678377</v>
      </c>
      <c r="N31" s="63">
        <f t="shared" si="0"/>
        <v>0</v>
      </c>
      <c r="O31" s="67">
        <v>6.25E-2</v>
      </c>
      <c r="P31" s="66">
        <f t="shared" si="1"/>
        <v>5000</v>
      </c>
      <c r="Q31" s="63">
        <f t="shared" si="2"/>
        <v>60000</v>
      </c>
      <c r="R31" s="66">
        <f t="shared" si="13"/>
        <v>851472.78636943398</v>
      </c>
      <c r="S31" s="66">
        <f t="shared" si="3"/>
        <v>0</v>
      </c>
      <c r="T31" s="65">
        <f t="shared" si="14"/>
        <v>0.68281068726435346</v>
      </c>
      <c r="U31" s="68">
        <f t="shared" si="15"/>
        <v>0.31718931273564649</v>
      </c>
      <c r="V31" s="3"/>
      <c r="W31" s="88">
        <f t="shared" si="23"/>
        <v>2006</v>
      </c>
      <c r="X31" s="88">
        <f t="shared" si="16"/>
        <v>10</v>
      </c>
      <c r="Y31" s="90">
        <v>0.15887411347517733</v>
      </c>
      <c r="Z31" s="91">
        <f t="shared" si="4"/>
        <v>5000</v>
      </c>
      <c r="AA31" s="88">
        <f t="shared" si="17"/>
        <v>60000</v>
      </c>
      <c r="AB31" s="88">
        <f t="shared" si="18"/>
        <v>1396170.1722783081</v>
      </c>
      <c r="AC31" s="88">
        <f t="shared" si="24"/>
        <v>0</v>
      </c>
      <c r="AD31" s="92">
        <v>6.25E-2</v>
      </c>
      <c r="AE31" s="91">
        <f t="shared" si="6"/>
        <v>5000</v>
      </c>
      <c r="AF31" s="88">
        <f t="shared" si="7"/>
        <v>60000</v>
      </c>
      <c r="AG31" s="91">
        <f t="shared" si="19"/>
        <v>1280062.0799072471</v>
      </c>
      <c r="AH31" s="91">
        <f t="shared" si="8"/>
        <v>0</v>
      </c>
      <c r="AI31" s="90">
        <f t="shared" si="20"/>
        <v>0.52169245443407253</v>
      </c>
      <c r="AJ31" s="93">
        <f t="shared" si="21"/>
        <v>0.47830754556592747</v>
      </c>
      <c r="AK31" s="3"/>
    </row>
    <row r="32" spans="1:37">
      <c r="A32" s="123" t="s">
        <v>0</v>
      </c>
      <c r="B32" s="123" t="s">
        <v>118</v>
      </c>
      <c r="C32" s="123" t="s">
        <v>125</v>
      </c>
      <c r="D32" s="123"/>
      <c r="H32" s="63">
        <f t="shared" si="22"/>
        <v>2007</v>
      </c>
      <c r="I32" s="63">
        <f t="shared" si="9"/>
        <v>11</v>
      </c>
      <c r="J32" s="65">
        <v>0.19677787042632777</v>
      </c>
      <c r="K32" s="66">
        <f t="shared" si="10"/>
        <v>5000</v>
      </c>
      <c r="L32" s="63">
        <f t="shared" si="11"/>
        <v>60000</v>
      </c>
      <c r="M32" s="63">
        <f t="shared" si="12"/>
        <v>2265450.3578215651</v>
      </c>
      <c r="N32" s="63">
        <f t="shared" si="0"/>
        <v>0</v>
      </c>
      <c r="O32" s="69">
        <v>7.0000000000000007E-2</v>
      </c>
      <c r="P32" s="66">
        <f t="shared" si="1"/>
        <v>5000</v>
      </c>
      <c r="Q32" s="63">
        <f t="shared" si="2"/>
        <v>60000</v>
      </c>
      <c r="R32" s="66">
        <f t="shared" si="13"/>
        <v>975275.88141529437</v>
      </c>
      <c r="S32" s="66">
        <f t="shared" si="3"/>
        <v>0</v>
      </c>
      <c r="T32" s="65">
        <f t="shared" si="14"/>
        <v>0.6990563813730355</v>
      </c>
      <c r="U32" s="68">
        <f t="shared" si="15"/>
        <v>0.3009436186269645</v>
      </c>
      <c r="V32" s="3"/>
      <c r="W32" s="88">
        <f t="shared" si="23"/>
        <v>2007</v>
      </c>
      <c r="X32" s="88">
        <f t="shared" si="16"/>
        <v>11</v>
      </c>
      <c r="Y32" s="90">
        <v>0.19677787042632777</v>
      </c>
      <c r="Z32" s="91">
        <f t="shared" si="4"/>
        <v>5000</v>
      </c>
      <c r="AA32" s="88">
        <f t="shared" si="17"/>
        <v>60000</v>
      </c>
      <c r="AB32" s="88">
        <f t="shared" si="18"/>
        <v>1673234.4399940218</v>
      </c>
      <c r="AC32" s="88">
        <f t="shared" si="24"/>
        <v>0</v>
      </c>
      <c r="AD32" s="94">
        <v>7.0000000000000007E-2</v>
      </c>
      <c r="AE32" s="91">
        <f t="shared" si="6"/>
        <v>5000</v>
      </c>
      <c r="AF32" s="88">
        <f t="shared" si="7"/>
        <v>60000</v>
      </c>
      <c r="AG32" s="91">
        <f t="shared" si="19"/>
        <v>1495984.2549192721</v>
      </c>
      <c r="AH32" s="91">
        <f t="shared" si="8"/>
        <v>0</v>
      </c>
      <c r="AI32" s="90">
        <f t="shared" si="20"/>
        <v>0.52796433476794169</v>
      </c>
      <c r="AJ32" s="93">
        <f t="shared" si="21"/>
        <v>0.4720356652320582</v>
      </c>
      <c r="AK32" s="3"/>
    </row>
    <row r="33" spans="1:37">
      <c r="A33" s="119">
        <v>1980</v>
      </c>
      <c r="B33" s="129">
        <v>7.7421755545599047E-2</v>
      </c>
      <c r="C33" s="127">
        <v>1.6016376064194127</v>
      </c>
      <c r="D33" s="119"/>
      <c r="H33" s="63">
        <f t="shared" si="22"/>
        <v>2008</v>
      </c>
      <c r="I33" s="63">
        <f t="shared" si="9"/>
        <v>12</v>
      </c>
      <c r="J33" s="65">
        <v>-0.37942650405256834</v>
      </c>
      <c r="K33" s="66">
        <f t="shared" si="10"/>
        <v>5000</v>
      </c>
      <c r="L33" s="63">
        <f t="shared" si="11"/>
        <v>60000</v>
      </c>
      <c r="M33" s="63">
        <f t="shared" si="12"/>
        <v>1443112.8582055345</v>
      </c>
      <c r="N33" s="63">
        <f t="shared" si="0"/>
        <v>0</v>
      </c>
      <c r="O33" s="69">
        <v>0.08</v>
      </c>
      <c r="P33" s="66">
        <f t="shared" si="1"/>
        <v>5000</v>
      </c>
      <c r="Q33" s="63">
        <f t="shared" si="2"/>
        <v>60000</v>
      </c>
      <c r="R33" s="66">
        <f t="shared" si="13"/>
        <v>1118097.951928518</v>
      </c>
      <c r="S33" s="66">
        <f t="shared" si="3"/>
        <v>0</v>
      </c>
      <c r="T33" s="65">
        <f t="shared" si="14"/>
        <v>0.56344946401737339</v>
      </c>
      <c r="U33" s="68">
        <f t="shared" si="15"/>
        <v>0.43655053598262666</v>
      </c>
      <c r="V33" s="3"/>
      <c r="W33" s="88">
        <f t="shared" si="23"/>
        <v>2008</v>
      </c>
      <c r="X33" s="88">
        <f t="shared" si="16"/>
        <v>12</v>
      </c>
      <c r="Y33" s="90">
        <v>-0.37942650405256834</v>
      </c>
      <c r="Z33" s="91">
        <f t="shared" si="4"/>
        <v>5000</v>
      </c>
      <c r="AA33" s="88">
        <f t="shared" si="17"/>
        <v>60000</v>
      </c>
      <c r="AB33" s="88">
        <f t="shared" si="18"/>
        <v>1020600.9722189957</v>
      </c>
      <c r="AC33" s="88">
        <f t="shared" si="24"/>
        <v>0</v>
      </c>
      <c r="AD33" s="94">
        <v>0.08</v>
      </c>
      <c r="AE33" s="91">
        <f t="shared" si="6"/>
        <v>5000</v>
      </c>
      <c r="AF33" s="88">
        <f t="shared" si="7"/>
        <v>60000</v>
      </c>
      <c r="AG33" s="91">
        <f t="shared" si="19"/>
        <v>1776178.0952531791</v>
      </c>
      <c r="AH33" s="91">
        <f t="shared" si="8"/>
        <v>0</v>
      </c>
      <c r="AI33" s="90">
        <f t="shared" si="20"/>
        <v>0.36492012690206882</v>
      </c>
      <c r="AJ33" s="93">
        <f t="shared" si="21"/>
        <v>0.63507987309793124</v>
      </c>
      <c r="AK33" s="3"/>
    </row>
    <row r="34" spans="1:37">
      <c r="A34" s="119">
        <v>1981</v>
      </c>
      <c r="B34" s="129">
        <v>0.12649156826310309</v>
      </c>
      <c r="C34" s="127">
        <v>2.302727130285362</v>
      </c>
      <c r="D34" s="119"/>
      <c r="H34" s="63">
        <f t="shared" si="22"/>
        <v>2009</v>
      </c>
      <c r="I34" s="63">
        <f t="shared" si="9"/>
        <v>13</v>
      </c>
      <c r="J34" s="65">
        <v>0.80532523046814641</v>
      </c>
      <c r="K34" s="66">
        <f t="shared" si="10"/>
        <v>5000</v>
      </c>
      <c r="L34" s="63">
        <f t="shared" si="11"/>
        <v>60000</v>
      </c>
      <c r="M34" s="63">
        <f t="shared" si="12"/>
        <v>2713607.567159541</v>
      </c>
      <c r="N34" s="63">
        <f t="shared" si="0"/>
        <v>0</v>
      </c>
      <c r="O34" s="69">
        <v>0.09</v>
      </c>
      <c r="P34" s="66">
        <f t="shared" si="1"/>
        <v>5000</v>
      </c>
      <c r="Q34" s="63">
        <f t="shared" si="2"/>
        <v>60000</v>
      </c>
      <c r="R34" s="66">
        <f t="shared" si="13"/>
        <v>1284126.7676020847</v>
      </c>
      <c r="S34" s="66">
        <f t="shared" si="3"/>
        <v>0</v>
      </c>
      <c r="T34" s="65">
        <f t="shared" si="14"/>
        <v>0.67878636745914389</v>
      </c>
      <c r="U34" s="68">
        <f t="shared" si="15"/>
        <v>0.32121363254085611</v>
      </c>
      <c r="V34" s="3"/>
      <c r="W34" s="88">
        <f t="shared" si="23"/>
        <v>2009</v>
      </c>
      <c r="X34" s="88">
        <f t="shared" si="16"/>
        <v>13</v>
      </c>
      <c r="Y34" s="90">
        <v>0.80532523046814641</v>
      </c>
      <c r="Z34" s="91">
        <f t="shared" si="4"/>
        <v>5000</v>
      </c>
      <c r="AA34" s="88">
        <f t="shared" si="17"/>
        <v>60000</v>
      </c>
      <c r="AB34" s="88">
        <f t="shared" si="18"/>
        <v>2632867.4211044344</v>
      </c>
      <c r="AC34" s="88">
        <f t="shared" si="24"/>
        <v>0</v>
      </c>
      <c r="AD34" s="94">
        <v>0.09</v>
      </c>
      <c r="AE34" s="91">
        <f t="shared" si="6"/>
        <v>5000</v>
      </c>
      <c r="AF34" s="88">
        <f t="shared" si="7"/>
        <v>60000</v>
      </c>
      <c r="AG34" s="91">
        <f t="shared" si="19"/>
        <v>1589644.5917723353</v>
      </c>
      <c r="AH34" s="91">
        <f t="shared" si="8"/>
        <v>0</v>
      </c>
      <c r="AI34" s="90">
        <f t="shared" si="20"/>
        <v>0.62353106706987893</v>
      </c>
      <c r="AJ34" s="93">
        <f t="shared" si="21"/>
        <v>0.37646893293012113</v>
      </c>
      <c r="AK34" s="3"/>
    </row>
    <row r="35" spans="1:37">
      <c r="A35" s="119">
        <v>1982</v>
      </c>
      <c r="B35" s="129">
        <v>0.16898280245444364</v>
      </c>
      <c r="C35" s="127">
        <v>2.7044824694709924</v>
      </c>
      <c r="D35" s="119"/>
      <c r="H35" s="63">
        <f t="shared" si="22"/>
        <v>2010</v>
      </c>
      <c r="I35" s="63">
        <f t="shared" si="9"/>
        <v>14</v>
      </c>
      <c r="J35" s="65">
        <v>0.10943116334797741</v>
      </c>
      <c r="K35" s="66">
        <f t="shared" si="10"/>
        <v>5000</v>
      </c>
      <c r="L35" s="63">
        <f t="shared" si="11"/>
        <v>60000</v>
      </c>
      <c r="M35" s="63">
        <f t="shared" si="12"/>
        <v>3077126.6699045631</v>
      </c>
      <c r="N35" s="63">
        <f t="shared" si="0"/>
        <v>0</v>
      </c>
      <c r="O35" s="69">
        <v>0.1</v>
      </c>
      <c r="P35" s="66">
        <f t="shared" si="1"/>
        <v>5000</v>
      </c>
      <c r="Q35" s="63">
        <f t="shared" si="2"/>
        <v>60000</v>
      </c>
      <c r="R35" s="66">
        <f t="shared" si="13"/>
        <v>1478539.4443622932</v>
      </c>
      <c r="S35" s="66">
        <f t="shared" si="3"/>
        <v>0</v>
      </c>
      <c r="T35" s="65">
        <f t="shared" si="14"/>
        <v>0.67545043748223965</v>
      </c>
      <c r="U35" s="68">
        <f t="shared" si="15"/>
        <v>0.32454956251776029</v>
      </c>
      <c r="V35" s="3"/>
      <c r="W35" s="88">
        <f t="shared" si="23"/>
        <v>2010</v>
      </c>
      <c r="X35" s="88">
        <f t="shared" si="16"/>
        <v>14</v>
      </c>
      <c r="Y35" s="90">
        <v>0.10943116334797741</v>
      </c>
      <c r="Z35" s="91">
        <f t="shared" si="4"/>
        <v>5000</v>
      </c>
      <c r="AA35" s="88">
        <f t="shared" si="17"/>
        <v>60000</v>
      </c>
      <c r="AB35" s="88">
        <f t="shared" si="18"/>
        <v>2408859.0771492207</v>
      </c>
      <c r="AC35" s="88">
        <f t="shared" si="24"/>
        <v>0</v>
      </c>
      <c r="AD35" s="94">
        <v>0.1</v>
      </c>
      <c r="AE35" s="91">
        <f t="shared" si="6"/>
        <v>5000</v>
      </c>
      <c r="AF35" s="88">
        <f t="shared" si="7"/>
        <v>60000</v>
      </c>
      <c r="AG35" s="91">
        <f t="shared" si="19"/>
        <v>2388381.6070822235</v>
      </c>
      <c r="AH35" s="91">
        <f t="shared" si="8"/>
        <v>0</v>
      </c>
      <c r="AI35" s="90">
        <f t="shared" si="20"/>
        <v>0.50213429671501653</v>
      </c>
      <c r="AJ35" s="93">
        <f t="shared" si="21"/>
        <v>0.49786570328498353</v>
      </c>
      <c r="AK35" s="3"/>
    </row>
    <row r="36" spans="1:37">
      <c r="A36" s="119">
        <v>1983</v>
      </c>
      <c r="B36" s="129">
        <v>0.15814623125018584</v>
      </c>
      <c r="C36" s="127">
        <v>2.5015724642585102</v>
      </c>
      <c r="D36" s="119"/>
      <c r="H36" s="63">
        <f t="shared" si="22"/>
        <v>2011</v>
      </c>
      <c r="I36" s="63">
        <f t="shared" si="9"/>
        <v>15</v>
      </c>
      <c r="J36" s="65">
        <v>-0.10495242993057337</v>
      </c>
      <c r="K36" s="66">
        <f t="shared" si="10"/>
        <v>5000</v>
      </c>
      <c r="L36" s="63">
        <f t="shared" si="11"/>
        <v>60000</v>
      </c>
      <c r="M36" s="63">
        <f t="shared" si="12"/>
        <v>2807877.6028980715</v>
      </c>
      <c r="N36" s="63">
        <f t="shared" si="0"/>
        <v>2807877.6028980715</v>
      </c>
      <c r="O36" s="69">
        <v>0.11</v>
      </c>
      <c r="P36" s="66">
        <f t="shared" si="1"/>
        <v>5000</v>
      </c>
      <c r="Q36" s="63">
        <f t="shared" si="2"/>
        <v>60000</v>
      </c>
      <c r="R36" s="66">
        <f t="shared" si="13"/>
        <v>1707778.7832421456</v>
      </c>
      <c r="S36" s="66">
        <f t="shared" si="3"/>
        <v>1707778.7832421456</v>
      </c>
      <c r="T36" s="65">
        <f t="shared" si="14"/>
        <v>0.62180940328325573</v>
      </c>
      <c r="U36" s="68">
        <f t="shared" si="15"/>
        <v>0.37819059671674427</v>
      </c>
      <c r="V36" s="3"/>
      <c r="W36" s="88">
        <f t="shared" si="23"/>
        <v>2011</v>
      </c>
      <c r="X36" s="88">
        <f t="shared" si="16"/>
        <v>15</v>
      </c>
      <c r="Y36" s="90">
        <v>-0.10495242993057337</v>
      </c>
      <c r="Z36" s="91">
        <f t="shared" si="4"/>
        <v>5000</v>
      </c>
      <c r="AA36" s="88">
        <f t="shared" si="17"/>
        <v>60000</v>
      </c>
      <c r="AB36" s="88">
        <f t="shared" si="18"/>
        <v>2200582.1629339396</v>
      </c>
      <c r="AC36" s="88">
        <f t="shared" si="24"/>
        <v>2200582.1629339396</v>
      </c>
      <c r="AD36" s="94">
        <v>0.11</v>
      </c>
      <c r="AE36" s="91">
        <f t="shared" si="6"/>
        <v>5000</v>
      </c>
      <c r="AF36" s="88">
        <f t="shared" si="7"/>
        <v>60000</v>
      </c>
      <c r="AG36" s="91">
        <f t="shared" si="19"/>
        <v>2729068.5797484517</v>
      </c>
      <c r="AH36" s="91">
        <f t="shared" si="8"/>
        <v>2729068.5797484517</v>
      </c>
      <c r="AI36" s="90">
        <f t="shared" si="20"/>
        <v>0.446397174526106</v>
      </c>
      <c r="AJ36" s="93">
        <f t="shared" si="21"/>
        <v>0.55360282547389394</v>
      </c>
      <c r="AK36" s="3"/>
    </row>
    <row r="37" spans="1:37">
      <c r="A37" s="119">
        <v>1984</v>
      </c>
      <c r="B37" s="129">
        <v>0.19836173589813155</v>
      </c>
      <c r="C37" s="127">
        <v>2.6444518726327306</v>
      </c>
      <c r="D37" s="119"/>
      <c r="H37" t="s">
        <v>16</v>
      </c>
      <c r="K37" s="3"/>
      <c r="P37" s="3"/>
      <c r="Q37" s="3"/>
      <c r="R37" s="3"/>
      <c r="S37" s="3"/>
      <c r="T37" s="3"/>
      <c r="U37" s="3"/>
      <c r="V37" s="3"/>
      <c r="AK37" s="3"/>
    </row>
    <row r="38" spans="1:37">
      <c r="A38" s="119">
        <v>1985</v>
      </c>
      <c r="B38" s="129">
        <v>0.16774350294017171</v>
      </c>
      <c r="C38" s="127">
        <v>2.3251580566044741</v>
      </c>
      <c r="D38" s="119"/>
      <c r="H38" t="s">
        <v>17</v>
      </c>
      <c r="J38" s="1"/>
      <c r="K38" s="1"/>
      <c r="V38" s="3"/>
      <c r="AK38" s="3"/>
    </row>
    <row r="39" spans="1:37">
      <c r="A39" s="119">
        <v>1986</v>
      </c>
      <c r="B39" s="129">
        <v>0.23356791040514163</v>
      </c>
      <c r="C39" s="127">
        <v>2.3401165081963313</v>
      </c>
      <c r="D39" s="119"/>
      <c r="J39" s="1"/>
      <c r="K39" s="1"/>
      <c r="V39" s="3"/>
      <c r="W39" s="25"/>
      <c r="X39" s="25"/>
      <c r="Y39" s="26"/>
      <c r="Z39" s="25"/>
      <c r="AA39" s="25"/>
      <c r="AB39" s="27"/>
      <c r="AC39" s="25"/>
      <c r="AD39" s="26"/>
      <c r="AE39" s="25"/>
      <c r="AF39" s="25"/>
      <c r="AG39" s="25"/>
      <c r="AH39" s="25"/>
      <c r="AI39" s="28"/>
      <c r="AJ39" s="28"/>
      <c r="AK39" s="3"/>
    </row>
    <row r="40" spans="1:37">
      <c r="A40" s="119">
        <v>1987</v>
      </c>
      <c r="B40" s="129">
        <v>0.20912517197669059</v>
      </c>
      <c r="C40" s="127">
        <v>1.8988760348430773</v>
      </c>
      <c r="D40" s="119"/>
      <c r="J40" s="1"/>
      <c r="K40" s="1"/>
    </row>
    <row r="41" spans="1:37">
      <c r="A41" s="119">
        <v>1988</v>
      </c>
      <c r="B41" s="129">
        <v>0.17322162286527495</v>
      </c>
      <c r="C41" s="127">
        <v>1.3243728583179291</v>
      </c>
      <c r="D41" s="119"/>
    </row>
    <row r="42" spans="1:37">
      <c r="A42" s="119">
        <v>1989</v>
      </c>
      <c r="B42" s="129">
        <v>0.1864551126271001</v>
      </c>
      <c r="C42" s="127">
        <v>1.6432678599185007</v>
      </c>
      <c r="D42" s="119"/>
    </row>
    <row r="43" spans="1:37">
      <c r="A43" s="119">
        <v>1990</v>
      </c>
      <c r="B43" s="129">
        <v>0.14918368023234418</v>
      </c>
      <c r="C43" s="127">
        <v>1.2600863965704612</v>
      </c>
      <c r="D43" s="119"/>
      <c r="F43" s="27"/>
    </row>
    <row r="44" spans="1:37">
      <c r="A44" s="119">
        <v>1991</v>
      </c>
      <c r="B44" s="129">
        <v>9.7853676586866348E-2</v>
      </c>
      <c r="C44" s="127">
        <v>0.99644088747356285</v>
      </c>
      <c r="D44" s="119"/>
      <c r="F44" s="27"/>
    </row>
    <row r="45" spans="1:37">
      <c r="A45" s="119">
        <v>1992</v>
      </c>
      <c r="B45" s="129">
        <v>4.8743165736270348E-2</v>
      </c>
      <c r="C45" s="127">
        <v>0.48033468274336855</v>
      </c>
      <c r="D45" s="119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37">
      <c r="A46" s="119">
        <v>1993</v>
      </c>
      <c r="B46" s="129">
        <v>1.4818852702243051E-2</v>
      </c>
      <c r="C46" s="127">
        <v>0.15886921768807838</v>
      </c>
      <c r="D46" s="119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37">
      <c r="A47" s="119">
        <v>1994</v>
      </c>
      <c r="B47" s="129">
        <v>0.11125187491674099</v>
      </c>
      <c r="C47" s="127">
        <v>0.83161375442450947</v>
      </c>
      <c r="D47" s="119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37">
      <c r="A48" s="119">
        <v>1995</v>
      </c>
      <c r="B48" s="129">
        <v>7.4583417708813396E-2</v>
      </c>
      <c r="C48" s="127">
        <v>0.77544530905536391</v>
      </c>
      <c r="D48" s="119"/>
      <c r="F48" s="27"/>
      <c r="G48" s="27"/>
      <c r="H48" s="40"/>
      <c r="I48" s="27"/>
      <c r="J48" s="27"/>
      <c r="K48" s="27"/>
      <c r="L48" s="41"/>
      <c r="M48" s="27"/>
      <c r="N48" s="27"/>
      <c r="O48" s="27"/>
    </row>
    <row r="49" spans="1:15">
      <c r="A49" s="119">
        <v>1996</v>
      </c>
      <c r="B49" s="129">
        <v>6.2107760473172749E-2</v>
      </c>
      <c r="C49" s="127">
        <v>0.65833718926868912</v>
      </c>
      <c r="D49" s="119"/>
      <c r="F49" s="27"/>
      <c r="G49" s="27"/>
      <c r="H49" s="42"/>
      <c r="I49" s="27"/>
      <c r="J49" s="27"/>
      <c r="K49" s="27"/>
      <c r="L49" s="27"/>
      <c r="M49" s="27"/>
      <c r="N49" s="27"/>
      <c r="O49" s="27"/>
    </row>
    <row r="50" spans="1:15">
      <c r="A50" s="119">
        <v>1997</v>
      </c>
      <c r="B50" s="129">
        <v>9.1679773911238341E-2</v>
      </c>
      <c r="C50" s="127">
        <v>0.86248824279619818</v>
      </c>
      <c r="D50" s="119"/>
      <c r="G50" s="27"/>
      <c r="H50" s="27"/>
      <c r="I50" s="27"/>
      <c r="J50" s="27"/>
      <c r="K50" s="27"/>
      <c r="L50" s="27"/>
      <c r="M50" s="27"/>
      <c r="N50" s="27"/>
      <c r="O50" s="27"/>
    </row>
    <row r="51" spans="1:15">
      <c r="A51" s="118"/>
      <c r="B51" s="130"/>
      <c r="C51" s="127"/>
      <c r="D51" s="119"/>
      <c r="E51" s="1"/>
      <c r="G51" s="27"/>
      <c r="H51" s="27"/>
      <c r="I51" s="27"/>
      <c r="J51" s="26"/>
      <c r="K51" s="26"/>
      <c r="L51" s="27"/>
      <c r="M51" s="27"/>
      <c r="N51" s="27"/>
      <c r="O51" s="27"/>
    </row>
    <row r="52" spans="1:15">
      <c r="A52" s="118"/>
      <c r="B52" s="130"/>
      <c r="C52" s="128"/>
      <c r="D52" s="118"/>
      <c r="E52" s="26"/>
      <c r="J52" s="1"/>
      <c r="K52" s="1"/>
    </row>
    <row r="53" spans="1:15">
      <c r="A53" s="118"/>
      <c r="B53" s="130"/>
      <c r="C53" s="128"/>
      <c r="D53" s="118"/>
      <c r="E53" s="27"/>
      <c r="J53" s="1"/>
      <c r="K53" s="1"/>
    </row>
    <row r="54" spans="1:15">
      <c r="A54" s="118"/>
      <c r="B54" s="130"/>
      <c r="C54" s="128"/>
      <c r="D54" s="118"/>
      <c r="E54" s="27"/>
      <c r="J54" s="1"/>
      <c r="K54" s="1"/>
    </row>
    <row r="55" spans="1:15">
      <c r="A55" s="118"/>
      <c r="B55" s="165"/>
      <c r="C55" s="128"/>
      <c r="D55" s="118"/>
      <c r="E55" s="27"/>
    </row>
    <row r="56" spans="1:15">
      <c r="A56" s="119"/>
      <c r="B56" s="166"/>
      <c r="C56" s="119"/>
      <c r="D56" s="119"/>
    </row>
    <row r="57" spans="1:15">
      <c r="A57" s="119"/>
      <c r="B57" s="166"/>
      <c r="C57" s="119"/>
      <c r="D57" s="119"/>
    </row>
    <row r="58" spans="1:15">
      <c r="A58" s="119"/>
      <c r="B58" s="166"/>
      <c r="C58" s="119"/>
      <c r="D58" s="119"/>
    </row>
    <row r="59" spans="1:15">
      <c r="A59" s="119"/>
      <c r="B59" s="166"/>
      <c r="C59" s="119"/>
      <c r="D59" s="119"/>
    </row>
    <row r="60" spans="1:15">
      <c r="A60" s="119"/>
      <c r="B60" s="166"/>
      <c r="C60" s="119"/>
      <c r="D60" s="119"/>
    </row>
    <row r="61" spans="1:15">
      <c r="A61" s="119"/>
      <c r="B61" s="166"/>
      <c r="C61" s="119"/>
      <c r="D61" s="119"/>
    </row>
    <row r="62" spans="1:15">
      <c r="A62" s="119"/>
      <c r="B62" s="166"/>
      <c r="C62" s="119"/>
      <c r="D62" s="119"/>
    </row>
    <row r="63" spans="1:15">
      <c r="A63" s="119"/>
      <c r="B63" s="166"/>
      <c r="C63" s="119"/>
      <c r="D63" s="119"/>
    </row>
    <row r="64" spans="1:15">
      <c r="A64" s="119"/>
      <c r="B64" s="166"/>
      <c r="C64" s="119"/>
      <c r="D64" s="119"/>
    </row>
  </sheetData>
  <mergeCells count="10">
    <mergeCell ref="A26:C26"/>
    <mergeCell ref="A27:C27"/>
    <mergeCell ref="A25:C25"/>
    <mergeCell ref="A18:C18"/>
    <mergeCell ref="AI4:AJ4"/>
    <mergeCell ref="AI2:AJ2"/>
    <mergeCell ref="H1:U1"/>
    <mergeCell ref="T3:U3"/>
    <mergeCell ref="T2:U2"/>
    <mergeCell ref="W1:AJ1"/>
  </mergeCells>
  <conditionalFormatting sqref="H1:U36">
    <cfRule type="cellIs" dxfId="2" priority="1" operator="equal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3"/>
  <sheetViews>
    <sheetView workbookViewId="0"/>
  </sheetViews>
  <sheetFormatPr defaultRowHeight="14.4"/>
  <cols>
    <col min="2" max="2" width="20.33203125" bestFit="1" customWidth="1"/>
    <col min="5" max="5" width="20.33203125" bestFit="1" customWidth="1"/>
    <col min="7" max="7" width="8.77734375" customWidth="1"/>
    <col min="8" max="8" width="20.33203125" bestFit="1" customWidth="1"/>
    <col min="9" max="9" width="20.44140625" customWidth="1"/>
  </cols>
  <sheetData>
    <row r="1" spans="1:9">
      <c r="A1" s="37" t="s">
        <v>47</v>
      </c>
      <c r="B1" s="37">
        <v>10000</v>
      </c>
      <c r="D1" s="37" t="s">
        <v>51</v>
      </c>
      <c r="E1" s="38"/>
      <c r="G1" s="37" t="s">
        <v>47</v>
      </c>
      <c r="H1" s="37">
        <v>10000</v>
      </c>
      <c r="I1" s="37" t="s">
        <v>63</v>
      </c>
    </row>
    <row r="2" spans="1:9">
      <c r="A2" s="37" t="s">
        <v>48</v>
      </c>
      <c r="B2" s="38"/>
      <c r="D2" s="37" t="s">
        <v>48</v>
      </c>
      <c r="E2" s="38"/>
      <c r="G2" s="37" t="s">
        <v>66</v>
      </c>
      <c r="H2" s="37"/>
      <c r="I2" s="37" t="s">
        <v>64</v>
      </c>
    </row>
    <row r="3" spans="1:9">
      <c r="A3" s="37" t="s">
        <v>49</v>
      </c>
      <c r="B3" s="53">
        <v>0.5</v>
      </c>
      <c r="D3" s="37" t="s">
        <v>49</v>
      </c>
      <c r="E3" s="53">
        <v>0.5</v>
      </c>
      <c r="G3" s="37" t="s">
        <v>49</v>
      </c>
      <c r="H3" s="53">
        <v>0.5</v>
      </c>
      <c r="I3" s="37" t="s">
        <v>65</v>
      </c>
    </row>
    <row r="4" spans="1:9">
      <c r="A4" s="37" t="s">
        <v>50</v>
      </c>
      <c r="B4" s="53">
        <v>0.5</v>
      </c>
      <c r="D4" s="37" t="s">
        <v>50</v>
      </c>
      <c r="E4" s="53">
        <v>0.5</v>
      </c>
      <c r="G4" s="37" t="s">
        <v>50</v>
      </c>
      <c r="H4" s="53">
        <v>0.5</v>
      </c>
      <c r="I4" s="37"/>
    </row>
    <row r="5" spans="1:9">
      <c r="A5" s="2" t="s">
        <v>45</v>
      </c>
      <c r="B5" s="2" t="s">
        <v>46</v>
      </c>
      <c r="C5" s="12"/>
      <c r="D5" s="2" t="s">
        <v>45</v>
      </c>
      <c r="E5" s="2" t="s">
        <v>46</v>
      </c>
      <c r="G5" s="2" t="s">
        <v>45</v>
      </c>
      <c r="H5" s="2" t="s">
        <v>46</v>
      </c>
      <c r="I5" s="2" t="s">
        <v>62</v>
      </c>
    </row>
    <row r="6" spans="1:9">
      <c r="A6" s="20">
        <v>1980</v>
      </c>
      <c r="B6" s="49">
        <v>1.4999999999999999E-2</v>
      </c>
      <c r="D6" s="51">
        <v>1980</v>
      </c>
      <c r="E6" s="52">
        <v>-0.03</v>
      </c>
      <c r="G6" s="54">
        <v>1980</v>
      </c>
      <c r="H6" s="55">
        <v>0.11</v>
      </c>
      <c r="I6" s="54">
        <v>4</v>
      </c>
    </row>
    <row r="7" spans="1:9">
      <c r="A7" s="20">
        <f t="shared" ref="A7:A28" si="0">A6+1</f>
        <v>1981</v>
      </c>
      <c r="B7" s="50">
        <v>-1.2999999999999999E-2</v>
      </c>
      <c r="D7" s="51">
        <f t="shared" ref="D7:D28" si="1">D6+1</f>
        <v>1981</v>
      </c>
      <c r="E7" s="52">
        <v>-0.04</v>
      </c>
      <c r="G7" s="54">
        <f t="shared" ref="G7:G18" si="2">G6+1</f>
        <v>1981</v>
      </c>
      <c r="H7" s="56">
        <v>0.25700000000000001</v>
      </c>
      <c r="I7" s="57">
        <v>6</v>
      </c>
    </row>
    <row r="8" spans="1:9">
      <c r="A8" s="20">
        <f t="shared" si="0"/>
        <v>1982</v>
      </c>
      <c r="B8" s="49">
        <v>-0.157</v>
      </c>
      <c r="D8" s="51">
        <f t="shared" si="1"/>
        <v>1982</v>
      </c>
      <c r="E8" s="52">
        <v>-0.2</v>
      </c>
      <c r="G8" s="54">
        <f t="shared" si="2"/>
        <v>1982</v>
      </c>
      <c r="H8" s="55">
        <v>0.27700000000000002</v>
      </c>
      <c r="I8" s="54">
        <v>6</v>
      </c>
    </row>
    <row r="9" spans="1:9">
      <c r="A9" s="20">
        <f t="shared" si="0"/>
        <v>1983</v>
      </c>
      <c r="B9" s="49">
        <v>0.14099999999999999</v>
      </c>
      <c r="D9" s="51">
        <f t="shared" si="1"/>
        <v>1983</v>
      </c>
      <c r="E9" s="52">
        <v>7.0000000000000007E-2</v>
      </c>
      <c r="G9" s="54">
        <f t="shared" si="2"/>
        <v>1983</v>
      </c>
      <c r="H9" s="55">
        <v>0.28699999999999998</v>
      </c>
      <c r="I9" s="54">
        <v>5</v>
      </c>
    </row>
    <row r="10" spans="1:9">
      <c r="A10" s="20">
        <f t="shared" si="0"/>
        <v>1984</v>
      </c>
      <c r="B10" s="49">
        <v>0.06</v>
      </c>
      <c r="D10" s="51">
        <f t="shared" si="1"/>
        <v>1984</v>
      </c>
      <c r="E10" s="52">
        <v>-0.03</v>
      </c>
      <c r="G10" s="54">
        <f t="shared" si="2"/>
        <v>1984</v>
      </c>
      <c r="H10" s="55">
        <v>0.25</v>
      </c>
      <c r="I10" s="54">
        <v>5</v>
      </c>
    </row>
    <row r="11" spans="1:9">
      <c r="A11" s="20">
        <f t="shared" si="0"/>
        <v>1985</v>
      </c>
      <c r="B11" s="49">
        <v>0.158</v>
      </c>
      <c r="D11" s="51">
        <f t="shared" si="1"/>
        <v>1985</v>
      </c>
      <c r="E11" s="52">
        <v>0.16</v>
      </c>
      <c r="G11" s="54">
        <f t="shared" si="2"/>
        <v>1985</v>
      </c>
      <c r="H11" s="55">
        <v>0.23300000000000001</v>
      </c>
      <c r="I11" s="54">
        <v>5</v>
      </c>
    </row>
    <row r="12" spans="1:9">
      <c r="A12" s="20">
        <f t="shared" si="0"/>
        <v>1986</v>
      </c>
      <c r="B12" s="50">
        <v>0.17</v>
      </c>
      <c r="D12" s="51">
        <f t="shared" si="1"/>
        <v>1986</v>
      </c>
      <c r="E12" s="52">
        <v>0.28000000000000003</v>
      </c>
      <c r="G12" s="54">
        <f t="shared" si="2"/>
        <v>1986</v>
      </c>
      <c r="H12" s="55">
        <v>0.14000000000000001</v>
      </c>
      <c r="I12" s="54">
        <v>4</v>
      </c>
    </row>
    <row r="13" spans="1:9">
      <c r="A13" s="20">
        <f t="shared" si="0"/>
        <v>1987</v>
      </c>
      <c r="B13" s="49">
        <v>0.16600000000000001</v>
      </c>
      <c r="D13" s="51">
        <f t="shared" si="1"/>
        <v>1987</v>
      </c>
      <c r="E13" s="52">
        <v>0.25</v>
      </c>
      <c r="G13" s="54">
        <f t="shared" si="2"/>
        <v>1987</v>
      </c>
      <c r="H13" s="55">
        <v>0.1</v>
      </c>
      <c r="I13" s="54">
        <v>3</v>
      </c>
    </row>
    <row r="14" spans="1:9">
      <c r="A14" s="20">
        <f t="shared" si="0"/>
        <v>1988</v>
      </c>
      <c r="B14" s="50">
        <v>0.13500000000000001</v>
      </c>
      <c r="D14" s="51">
        <f t="shared" si="1"/>
        <v>1988</v>
      </c>
      <c r="E14" s="52">
        <v>0.12</v>
      </c>
      <c r="G14" s="54">
        <f t="shared" si="2"/>
        <v>1988</v>
      </c>
      <c r="H14" s="55">
        <v>0.06</v>
      </c>
      <c r="I14" s="54">
        <v>2</v>
      </c>
    </row>
    <row r="15" spans="1:9">
      <c r="A15" s="20">
        <f t="shared" si="0"/>
        <v>1989</v>
      </c>
      <c r="B15" s="49">
        <v>0.14199999999999999</v>
      </c>
      <c r="D15" s="51">
        <f t="shared" si="1"/>
        <v>1989</v>
      </c>
      <c r="E15" s="52">
        <v>0.26</v>
      </c>
      <c r="G15" s="54">
        <f t="shared" si="2"/>
        <v>1989</v>
      </c>
      <c r="H15" s="55">
        <v>0.23</v>
      </c>
      <c r="I15" s="54">
        <v>4</v>
      </c>
    </row>
    <row r="16" spans="1:9">
      <c r="A16" s="20">
        <f t="shared" si="0"/>
        <v>1990</v>
      </c>
      <c r="B16" s="49">
        <v>0.106</v>
      </c>
      <c r="D16" s="51">
        <f t="shared" si="1"/>
        <v>1990</v>
      </c>
      <c r="E16" s="52">
        <v>0.22</v>
      </c>
      <c r="G16" s="54">
        <f t="shared" si="2"/>
        <v>1990</v>
      </c>
      <c r="H16" s="55">
        <v>0.16</v>
      </c>
      <c r="I16" s="54">
        <v>3</v>
      </c>
    </row>
    <row r="17" spans="1:9">
      <c r="A17" s="20">
        <f t="shared" si="0"/>
        <v>1991</v>
      </c>
      <c r="B17" s="49">
        <v>7.1999999999999995E-2</v>
      </c>
      <c r="D17" s="51">
        <f t="shared" si="1"/>
        <v>1991</v>
      </c>
      <c r="E17" s="52">
        <v>0.34</v>
      </c>
      <c r="G17" s="54">
        <f t="shared" si="2"/>
        <v>1991</v>
      </c>
      <c r="H17" s="55">
        <v>0.14000000000000001</v>
      </c>
      <c r="I17" s="54">
        <v>3</v>
      </c>
    </row>
    <row r="18" spans="1:9">
      <c r="A18" s="20">
        <f t="shared" si="0"/>
        <v>1992</v>
      </c>
      <c r="B18" s="50">
        <v>-4.0000000000000001E-3</v>
      </c>
      <c r="D18" s="51">
        <f t="shared" si="1"/>
        <v>1992</v>
      </c>
      <c r="E18" s="52">
        <v>-0.04</v>
      </c>
      <c r="G18" s="54">
        <f t="shared" si="2"/>
        <v>1992</v>
      </c>
      <c r="H18" s="55">
        <v>0.14000000000000001</v>
      </c>
      <c r="I18" s="54">
        <v>3</v>
      </c>
    </row>
    <row r="19" spans="1:9">
      <c r="A19" s="20">
        <f t="shared" si="0"/>
        <v>1993</v>
      </c>
      <c r="B19" s="50">
        <v>-1.7999999999999999E-2</v>
      </c>
      <c r="D19" s="51">
        <f t="shared" si="1"/>
        <v>1993</v>
      </c>
      <c r="E19" s="52">
        <v>0.02</v>
      </c>
      <c r="G19" s="27"/>
      <c r="H19" s="58"/>
      <c r="I19" s="27"/>
    </row>
    <row r="20" spans="1:9">
      <c r="A20" s="20">
        <f t="shared" si="0"/>
        <v>1994</v>
      </c>
      <c r="B20" s="50">
        <v>5.8000000000000003E-2</v>
      </c>
      <c r="D20" s="51">
        <f t="shared" si="1"/>
        <v>1994</v>
      </c>
      <c r="E20" s="52">
        <v>0.06</v>
      </c>
      <c r="G20" s="43" t="s">
        <v>52</v>
      </c>
      <c r="H20" s="47">
        <f>AVERAGE(H6:H18)</f>
        <v>0.18338461538461545</v>
      </c>
      <c r="I20" s="44">
        <f>AVERAGE(I6:I18)</f>
        <v>4.0769230769230766</v>
      </c>
    </row>
    <row r="21" spans="1:9">
      <c r="A21" s="20">
        <f t="shared" si="0"/>
        <v>1995</v>
      </c>
      <c r="B21" s="50">
        <v>5.1999999999999998E-2</v>
      </c>
      <c r="D21" s="51">
        <f t="shared" si="1"/>
        <v>1995</v>
      </c>
      <c r="E21" s="52">
        <v>0.08</v>
      </c>
      <c r="G21" s="43" t="s">
        <v>53</v>
      </c>
      <c r="H21" s="48">
        <f>STDEV(H6:H18)</f>
        <v>7.5137139575510353E-2</v>
      </c>
      <c r="I21" s="59">
        <f>STDEV(I6:I18)</f>
        <v>1.2557559782549625</v>
      </c>
    </row>
    <row r="22" spans="1:9">
      <c r="A22" s="20">
        <f t="shared" si="0"/>
        <v>1996</v>
      </c>
      <c r="B22" s="50">
        <v>2.1000000000000001E-2</v>
      </c>
      <c r="D22" s="51">
        <f t="shared" si="1"/>
        <v>1996</v>
      </c>
      <c r="E22" s="52">
        <v>0.08</v>
      </c>
      <c r="G22" s="27"/>
      <c r="H22" s="58"/>
      <c r="I22" s="27"/>
    </row>
    <row r="23" spans="1:9">
      <c r="A23" s="20">
        <f t="shared" si="0"/>
        <v>1997</v>
      </c>
      <c r="B23" s="50">
        <v>-3.0000000000000001E-3</v>
      </c>
      <c r="D23" s="51">
        <f t="shared" si="1"/>
        <v>1997</v>
      </c>
      <c r="E23" s="52">
        <v>0.05</v>
      </c>
      <c r="G23" s="27" t="s">
        <v>94</v>
      </c>
      <c r="H23" s="58"/>
      <c r="I23" s="27"/>
    </row>
    <row r="24" spans="1:9">
      <c r="A24" s="20">
        <f t="shared" si="0"/>
        <v>1998</v>
      </c>
      <c r="B24" s="49">
        <v>-0.03</v>
      </c>
      <c r="D24" s="51">
        <f t="shared" si="1"/>
        <v>1998</v>
      </c>
      <c r="E24" s="52">
        <v>0.04</v>
      </c>
      <c r="G24" s="27" t="s">
        <v>67</v>
      </c>
      <c r="H24" s="58"/>
      <c r="I24" s="27"/>
    </row>
    <row r="25" spans="1:9">
      <c r="A25" s="20">
        <f t="shared" si="0"/>
        <v>1999</v>
      </c>
      <c r="B25" s="50">
        <v>7.4999999999999997E-2</v>
      </c>
      <c r="D25" s="51">
        <f t="shared" si="1"/>
        <v>1999</v>
      </c>
      <c r="E25" s="52">
        <v>0.14000000000000001</v>
      </c>
      <c r="G25" s="27" t="s">
        <v>68</v>
      </c>
      <c r="H25" s="58"/>
      <c r="I25" s="27"/>
    </row>
    <row r="26" spans="1:9">
      <c r="A26" s="20">
        <f t="shared" si="0"/>
        <v>2000</v>
      </c>
      <c r="B26" s="50">
        <v>2.9000000000000001E-2</v>
      </c>
      <c r="D26" s="51">
        <f t="shared" si="1"/>
        <v>2000</v>
      </c>
      <c r="E26" s="52">
        <v>0.13</v>
      </c>
      <c r="G26" s="27" t="s">
        <v>69</v>
      </c>
      <c r="H26" s="58"/>
      <c r="I26" s="27"/>
    </row>
    <row r="27" spans="1:9">
      <c r="A27" s="20">
        <f t="shared" si="0"/>
        <v>2001</v>
      </c>
      <c r="B27" s="50">
        <v>1.4E-2</v>
      </c>
      <c r="D27" s="51">
        <f t="shared" si="1"/>
        <v>2001</v>
      </c>
      <c r="E27" s="52">
        <v>0.02</v>
      </c>
      <c r="G27" s="27" t="s">
        <v>70</v>
      </c>
      <c r="H27" s="58"/>
      <c r="I27" s="27"/>
    </row>
    <row r="28" spans="1:9">
      <c r="A28" s="20">
        <f t="shared" si="0"/>
        <v>2002</v>
      </c>
      <c r="B28" s="50">
        <v>4.7E-2</v>
      </c>
      <c r="D28" s="51">
        <f t="shared" si="1"/>
        <v>2002</v>
      </c>
      <c r="E28" s="52">
        <v>0.05</v>
      </c>
      <c r="G28" s="27" t="s">
        <v>71</v>
      </c>
      <c r="H28" s="58"/>
      <c r="I28" s="27"/>
    </row>
    <row r="29" spans="1:9">
      <c r="A29" s="39" t="s">
        <v>61</v>
      </c>
      <c r="G29" s="27" t="s">
        <v>72</v>
      </c>
    </row>
    <row r="30" spans="1:9">
      <c r="A30" s="43" t="s">
        <v>52</v>
      </c>
      <c r="B30" s="47">
        <f>AVERAGE(B6:B28)</f>
        <v>5.3739130434782602E-2</v>
      </c>
      <c r="D30" s="43" t="s">
        <v>52</v>
      </c>
      <c r="E30" s="47">
        <f>AVERAGE(E6:E28)</f>
        <v>8.8260869565217406E-2</v>
      </c>
      <c r="G30" s="27" t="s">
        <v>73</v>
      </c>
    </row>
    <row r="31" spans="1:9">
      <c r="A31" s="43" t="s">
        <v>53</v>
      </c>
      <c r="B31" s="48">
        <f>STDEV(B6:B28)</f>
        <v>7.8323465305049578E-2</v>
      </c>
      <c r="D31" s="43" t="s">
        <v>53</v>
      </c>
      <c r="E31" s="48">
        <f>STDEV(E6:E28)</f>
        <v>0.12496007267461813</v>
      </c>
      <c r="G31" s="27" t="s">
        <v>88</v>
      </c>
    </row>
    <row r="33" spans="1:1">
      <c r="A33" t="s">
        <v>86</v>
      </c>
    </row>
    <row r="34" spans="1:1">
      <c r="A34" t="s">
        <v>54</v>
      </c>
    </row>
    <row r="35" spans="1:1">
      <c r="A35" t="s">
        <v>55</v>
      </c>
    </row>
    <row r="37" spans="1:1">
      <c r="A37" t="s">
        <v>74</v>
      </c>
    </row>
    <row r="38" spans="1:1">
      <c r="A38" t="s">
        <v>75</v>
      </c>
    </row>
    <row r="39" spans="1:1">
      <c r="A39" t="s">
        <v>76</v>
      </c>
    </row>
    <row r="40" spans="1:1">
      <c r="A40" t="s">
        <v>77</v>
      </c>
    </row>
    <row r="41" spans="1:1">
      <c r="A41" t="s">
        <v>78</v>
      </c>
    </row>
    <row r="42" spans="1:1">
      <c r="A42" t="s">
        <v>79</v>
      </c>
    </row>
    <row r="43" spans="1:1">
      <c r="A4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48</vt:i4>
      </vt:variant>
    </vt:vector>
  </HeadingPairs>
  <TitlesOfParts>
    <vt:vector size="57" baseType="lpstr">
      <vt:lpstr>Read me first</vt:lpstr>
      <vt:lpstr>Rebalancing Illustration</vt:lpstr>
      <vt:lpstr>Annual Rebalancing Lumpsum</vt:lpstr>
      <vt:lpstr>Annual Rebalancing SIP</vt:lpstr>
      <vt:lpstr>Variable frequency Rebal. SIP</vt:lpstr>
      <vt:lpstr>One-way Rebalancing SIP </vt:lpstr>
      <vt:lpstr>Threshold Rebalancing SIP</vt:lpstr>
      <vt:lpstr>Annual Rebalancing Retirement</vt:lpstr>
      <vt:lpstr>Sample Data and analysis</vt:lpstr>
      <vt:lpstr>'Annual Rebalancing Lumpsum'!bondper</vt:lpstr>
      <vt:lpstr>'Annual Rebalancing Retirement'!bondper</vt:lpstr>
      <vt:lpstr>'Annual Rebalancing SIP'!bondper</vt:lpstr>
      <vt:lpstr>'One-way Rebalancing SIP '!bondper</vt:lpstr>
      <vt:lpstr>'Threshold Rebalancing SIP'!bondper</vt:lpstr>
      <vt:lpstr>'Variable frequency Rebal. SIP'!bondper</vt:lpstr>
      <vt:lpstr>'Annual Rebalancing Lumpsum'!cont1</vt:lpstr>
      <vt:lpstr>'Annual Rebalancing Retirement'!cont1</vt:lpstr>
      <vt:lpstr>'Annual Rebalancing SIP'!cont1</vt:lpstr>
      <vt:lpstr>'One-way Rebalancing SIP '!cont1</vt:lpstr>
      <vt:lpstr>'Threshold Rebalancing SIP'!cont1</vt:lpstr>
      <vt:lpstr>'Variable frequency Rebal. SIP'!cont1</vt:lpstr>
      <vt:lpstr>corp1</vt:lpstr>
      <vt:lpstr>corp2</vt:lpstr>
      <vt:lpstr>'Annual Rebalancing Lumpsum'!eqper</vt:lpstr>
      <vt:lpstr>'Annual Rebalancing Retirement'!eqper</vt:lpstr>
      <vt:lpstr>'Annual Rebalancing SIP'!eqper</vt:lpstr>
      <vt:lpstr>'One-way Rebalancing SIP '!eqper</vt:lpstr>
      <vt:lpstr>'Threshold Rebalancing SIP'!eqper</vt:lpstr>
      <vt:lpstr>'Variable frequency Rebal. SIP'!eqper</vt:lpstr>
      <vt:lpstr>eqper1</vt:lpstr>
      <vt:lpstr>exp</vt:lpstr>
      <vt:lpstr>'One-way Rebalancing SIP '!freq</vt:lpstr>
      <vt:lpstr>'Threshold Rebalancing SIP'!freq</vt:lpstr>
      <vt:lpstr>freq</vt:lpstr>
      <vt:lpstr>'Annual Rebalancing Lumpsum'!inca</vt:lpstr>
      <vt:lpstr>'Annual Rebalancing Retirement'!inca</vt:lpstr>
      <vt:lpstr>'Annual Rebalancing SIP'!inca</vt:lpstr>
      <vt:lpstr>'One-way Rebalancing SIP '!inca</vt:lpstr>
      <vt:lpstr>'Threshold Rebalancing SIP'!inca</vt:lpstr>
      <vt:lpstr>'Variable frequency Rebal. SIP'!inca</vt:lpstr>
      <vt:lpstr>inf</vt:lpstr>
      <vt:lpstr>oneway</vt:lpstr>
      <vt:lpstr>rate</vt:lpstr>
      <vt:lpstr>'Annual Rebalancing Lumpsum'!start</vt:lpstr>
      <vt:lpstr>'Annual Rebalancing Retirement'!start</vt:lpstr>
      <vt:lpstr>'Annual Rebalancing SIP'!start</vt:lpstr>
      <vt:lpstr>'One-way Rebalancing SIP '!start</vt:lpstr>
      <vt:lpstr>'Threshold Rebalancing SIP'!start</vt:lpstr>
      <vt:lpstr>'Variable frequency Rebal. SIP'!start</vt:lpstr>
      <vt:lpstr>'One-way Rebalancing SIP '!thres</vt:lpstr>
      <vt:lpstr>thres</vt:lpstr>
      <vt:lpstr>'Annual Rebalancing Lumpsum'!time1</vt:lpstr>
      <vt:lpstr>'Annual Rebalancing Retirement'!time1</vt:lpstr>
      <vt:lpstr>'Annual Rebalancing SIP'!time1</vt:lpstr>
      <vt:lpstr>'One-way Rebalancing SIP '!time1</vt:lpstr>
      <vt:lpstr>'Threshold Rebalancing SIP'!time1</vt:lpstr>
      <vt:lpstr>'Variable frequency Rebal. SIP'!time1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2012-11-04T13:31:23Z</dcterms:created>
  <dcterms:modified xsi:type="dcterms:W3CDTF">2013-06-30T16:33:55Z</dcterms:modified>
</cp:coreProperties>
</file>