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d.docs.live.net/13418e9942066649/freefincal-lenovo/"/>
    </mc:Choice>
  </mc:AlternateContent>
  <xr:revisionPtr revIDLastSave="274" documentId="8_{55268845-4541-4B3C-8BE5-D70C0A2B3896}" xr6:coauthVersionLast="47" xr6:coauthVersionMax="47" xr10:uidLastSave="{FBCB588D-1515-48B3-AFA8-120E39908092}"/>
  <bookViews>
    <workbookView xWindow="-110" yWindow="-110" windowWidth="25820" windowHeight="13900" xr2:uid="{96698CC2-B2AA-4A03-AF48-DD2D0CDD1248}"/>
  </bookViews>
  <sheets>
    <sheet name="NPS vs UPS Freefincal.co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1" l="1"/>
  <c r="B28" i="1" s="1"/>
  <c r="B29" i="1" s="1"/>
  <c r="F3" i="1"/>
  <c r="F4" i="1" s="1"/>
  <c r="F5" i="1" s="1"/>
  <c r="F6" i="1" s="1"/>
  <c r="F7" i="1" s="1"/>
  <c r="F8" i="1" s="1"/>
  <c r="F9" i="1" s="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B22" i="1"/>
  <c r="B20" i="1"/>
  <c r="B23" i="1" l="1"/>
  <c r="B24" i="1" s="1"/>
  <c r="B25" i="1" s="1"/>
  <c r="G2" i="1" l="1"/>
  <c r="H2" i="1" s="1"/>
  <c r="H3" i="1" s="1"/>
  <c r="H4" i="1" s="1"/>
  <c r="H5" i="1" s="1"/>
  <c r="H6" i="1" s="1"/>
  <c r="H7" i="1" s="1"/>
  <c r="H8" i="1" s="1"/>
  <c r="H9" i="1" s="1"/>
  <c r="G3" i="1" l="1"/>
  <c r="G4" i="1" s="1"/>
  <c r="I3" i="1"/>
  <c r="H10" i="1"/>
  <c r="I2" i="1"/>
  <c r="J2" i="1" s="1"/>
  <c r="H11" i="1" l="1"/>
  <c r="J3" i="1"/>
  <c r="G5" i="1"/>
  <c r="I4" i="1"/>
  <c r="G6" i="1" l="1"/>
  <c r="I5" i="1"/>
  <c r="H12" i="1"/>
  <c r="J4" i="1"/>
  <c r="K4" i="1" s="1"/>
  <c r="K3" i="1"/>
  <c r="H13" i="1" l="1"/>
  <c r="J5" i="1"/>
  <c r="G7" i="1"/>
  <c r="I6" i="1"/>
  <c r="J6" i="1" l="1"/>
  <c r="G8" i="1"/>
  <c r="I7" i="1"/>
  <c r="H14" i="1"/>
  <c r="H15" i="1" s="1"/>
  <c r="K5" i="1"/>
  <c r="G9" i="1" l="1"/>
  <c r="I8" i="1"/>
  <c r="J7" i="1"/>
  <c r="K6" i="1"/>
  <c r="J8" i="1" l="1"/>
  <c r="K7" i="1"/>
  <c r="G10" i="1"/>
  <c r="I9" i="1"/>
  <c r="H16" i="1"/>
  <c r="H17" i="1" s="1"/>
  <c r="G11" i="1" l="1"/>
  <c r="I10" i="1"/>
  <c r="J9" i="1"/>
  <c r="K8" i="1"/>
  <c r="J10" i="1" l="1"/>
  <c r="K9" i="1"/>
  <c r="G12" i="1"/>
  <c r="I11" i="1"/>
  <c r="H18" i="1"/>
  <c r="H19" i="1" s="1"/>
  <c r="G13" i="1" l="1"/>
  <c r="I12" i="1"/>
  <c r="J11" i="1"/>
  <c r="K10" i="1"/>
  <c r="J12" i="1" l="1"/>
  <c r="K11" i="1"/>
  <c r="G14" i="1"/>
  <c r="I13" i="1"/>
  <c r="H20" i="1"/>
  <c r="H21" i="1" s="1"/>
  <c r="G15" i="1" l="1"/>
  <c r="I14" i="1"/>
  <c r="J13" i="1"/>
  <c r="K12" i="1"/>
  <c r="J14" i="1" l="1"/>
  <c r="K13" i="1"/>
  <c r="G16" i="1"/>
  <c r="I15" i="1"/>
  <c r="H22" i="1"/>
  <c r="H23" i="1" s="1"/>
  <c r="G17" i="1" l="1"/>
  <c r="I16" i="1"/>
  <c r="J15" i="1"/>
  <c r="K14" i="1"/>
  <c r="J16" i="1" l="1"/>
  <c r="K15" i="1"/>
  <c r="G18" i="1"/>
  <c r="I17" i="1"/>
  <c r="H24" i="1"/>
  <c r="H25" i="1" s="1"/>
  <c r="G19" i="1" l="1"/>
  <c r="I18" i="1"/>
  <c r="J17" i="1"/>
  <c r="K16" i="1"/>
  <c r="J18" i="1" l="1"/>
  <c r="K17" i="1"/>
  <c r="G20" i="1"/>
  <c r="I19" i="1"/>
  <c r="H26" i="1"/>
  <c r="H27" i="1" s="1"/>
  <c r="G21" i="1" l="1"/>
  <c r="I20" i="1"/>
  <c r="J19" i="1"/>
  <c r="K18" i="1"/>
  <c r="J20" i="1" l="1"/>
  <c r="K19" i="1"/>
  <c r="G22" i="1"/>
  <c r="I21" i="1"/>
  <c r="H28" i="1"/>
  <c r="H29" i="1" s="1"/>
  <c r="G23" i="1" l="1"/>
  <c r="I22" i="1"/>
  <c r="J21" i="1"/>
  <c r="K20" i="1"/>
  <c r="J22" i="1" l="1"/>
  <c r="K21" i="1"/>
  <c r="G24" i="1"/>
  <c r="I23" i="1"/>
  <c r="H30" i="1"/>
  <c r="H31" i="1" s="1"/>
  <c r="G25" i="1" l="1"/>
  <c r="I24" i="1"/>
  <c r="J23" i="1"/>
  <c r="K22" i="1"/>
  <c r="J24" i="1" l="1"/>
  <c r="K23" i="1"/>
  <c r="G26" i="1"/>
  <c r="I25" i="1"/>
  <c r="H32" i="1"/>
  <c r="G27" i="1" l="1"/>
  <c r="I26" i="1"/>
  <c r="J33" i="1"/>
  <c r="I33" i="1"/>
  <c r="H33" i="1"/>
  <c r="G33" i="1"/>
  <c r="J25" i="1"/>
  <c r="K24" i="1"/>
  <c r="J26" i="1" l="1"/>
  <c r="K25" i="1"/>
  <c r="J34" i="1"/>
  <c r="I34" i="1"/>
  <c r="H34" i="1"/>
  <c r="G34" i="1"/>
  <c r="G28" i="1"/>
  <c r="I27" i="1"/>
  <c r="G29" i="1" l="1"/>
  <c r="I28" i="1"/>
  <c r="I35" i="1"/>
  <c r="H35" i="1"/>
  <c r="G35" i="1"/>
  <c r="J35" i="1"/>
  <c r="J27" i="1"/>
  <c r="K26" i="1"/>
  <c r="K34" i="1"/>
  <c r="J28" i="1" l="1"/>
  <c r="K27" i="1"/>
  <c r="I36" i="1"/>
  <c r="H36" i="1"/>
  <c r="G36" i="1"/>
  <c r="J36" i="1"/>
  <c r="K35" i="1"/>
  <c r="G30" i="1"/>
  <c r="I29" i="1"/>
  <c r="G31" i="1" l="1"/>
  <c r="I30" i="1"/>
  <c r="H37" i="1"/>
  <c r="G37" i="1"/>
  <c r="I37" i="1"/>
  <c r="J37" i="1"/>
  <c r="K36" i="1"/>
  <c r="J29" i="1"/>
  <c r="K29" i="1" s="1"/>
  <c r="K28" i="1"/>
  <c r="J30" i="1" l="1"/>
  <c r="I38" i="1"/>
  <c r="H38" i="1"/>
  <c r="G38" i="1"/>
  <c r="J38" i="1"/>
  <c r="K37" i="1"/>
  <c r="G32" i="1"/>
  <c r="I32" i="1" s="1"/>
  <c r="I31" i="1"/>
  <c r="G39" i="1" l="1"/>
  <c r="I39" i="1"/>
  <c r="J39" i="1"/>
  <c r="H39" i="1"/>
  <c r="J31" i="1"/>
  <c r="K30" i="1"/>
  <c r="K38" i="1"/>
  <c r="J32" i="1" l="1"/>
  <c r="K33" i="1" s="1"/>
  <c r="K31" i="1"/>
  <c r="J40" i="1"/>
  <c r="H40" i="1"/>
  <c r="G40" i="1"/>
  <c r="I40" i="1"/>
  <c r="K39" i="1"/>
  <c r="G41" i="1" l="1"/>
  <c r="J41" i="1"/>
  <c r="K41" i="1" s="1"/>
  <c r="H41" i="1"/>
  <c r="I41" i="1"/>
  <c r="K32" i="1"/>
  <c r="K40" i="1"/>
  <c r="G42" i="1" l="1"/>
  <c r="J42" i="1"/>
  <c r="I42" i="1"/>
  <c r="H42" i="1"/>
  <c r="J43" i="1" l="1"/>
  <c r="I43" i="1"/>
  <c r="H43" i="1"/>
  <c r="G43" i="1"/>
  <c r="K42" i="1"/>
  <c r="J44" i="1" l="1"/>
  <c r="H44" i="1"/>
  <c r="G44" i="1"/>
  <c r="I44" i="1"/>
  <c r="K43" i="1"/>
  <c r="J45" i="1" l="1"/>
  <c r="I45" i="1"/>
  <c r="G45" i="1"/>
  <c r="H45" i="1"/>
  <c r="K44" i="1"/>
  <c r="J46" i="1" l="1"/>
  <c r="I46" i="1"/>
  <c r="H46" i="1"/>
  <c r="G46" i="1"/>
  <c r="K45" i="1"/>
  <c r="J47" i="1" l="1"/>
  <c r="I47" i="1"/>
  <c r="H47" i="1"/>
  <c r="G47" i="1"/>
  <c r="K46" i="1"/>
  <c r="J48" i="1" l="1"/>
  <c r="I48" i="1"/>
  <c r="H48" i="1"/>
  <c r="G48" i="1"/>
  <c r="K47" i="1"/>
  <c r="J49" i="1" l="1"/>
  <c r="I49" i="1"/>
  <c r="H49" i="1"/>
  <c r="G49" i="1"/>
  <c r="K48" i="1"/>
  <c r="J50" i="1" l="1"/>
  <c r="K50" i="1" s="1"/>
  <c r="I50" i="1"/>
  <c r="H50" i="1"/>
  <c r="G50" i="1"/>
  <c r="K49" i="1"/>
  <c r="B26" i="1" l="1"/>
  <c r="B27" i="1" s="1"/>
</calcChain>
</file>

<file path=xl/sharedStrings.xml><?xml version="1.0" encoding="utf-8"?>
<sst xmlns="http://schemas.openxmlformats.org/spreadsheetml/2006/main" count="44" uniqueCount="42">
  <si>
    <t>Projected increase in basic pay</t>
  </si>
  <si>
    <t>Use a conservative number to account for pay commissions and promotions</t>
  </si>
  <si>
    <t>Current total NPS contribution</t>
  </si>
  <si>
    <t>Expected growth in NPS contributions</t>
  </si>
  <si>
    <t>Use a conservative number to account for DA hikes</t>
  </si>
  <si>
    <t>Current NPS Corpus</t>
  </si>
  <si>
    <t>Expected rate of NPS return</t>
  </si>
  <si>
    <t>Please be conservative</t>
  </si>
  <si>
    <t>Expected NPS corpus at retirement</t>
  </si>
  <si>
    <t>Expected basic pay at retirement</t>
  </si>
  <si>
    <t>Expected UPS pension at retirement</t>
  </si>
  <si>
    <t>NPS annuity rate at retirement</t>
  </si>
  <si>
    <t>Current Basic Pay (monthly)</t>
  </si>
  <si>
    <t>Remaining NPS Corpus</t>
  </si>
  <si>
    <t>NPS Corpus needed to match match UPS pension</t>
  </si>
  <si>
    <t>Expected increase in UPS pension after retirement</t>
  </si>
  <si>
    <t>How long you expect to live minus retirement age</t>
  </si>
  <si>
    <t>Year</t>
  </si>
  <si>
    <t>UPS Pension</t>
  </si>
  <si>
    <t>NPS Pension</t>
  </si>
  <si>
    <t>Balance</t>
  </si>
  <si>
    <t>NPS Year Balanace</t>
  </si>
  <si>
    <t>Is corpus negative</t>
  </si>
  <si>
    <t>How long will corpus last?</t>
  </si>
  <si>
    <t>This is used only for UPS lump sum calculation</t>
  </si>
  <si>
    <t>Expected DA at retirement</t>
  </si>
  <si>
    <t>1/10th of monthly emoluments (pay + DA) as on the date of superannuation for every completed six months of              service. In addition, gratuity is also eligible (also eligible in NPS so need not be considered for comparison)</t>
  </si>
  <si>
    <t>Is the NPS corpus expected to be large enough to generate inflation-indexed pension like UPS?</t>
  </si>
  <si>
    <t>Please change only the green cells</t>
  </si>
  <si>
    <t>Current Service (years, no decimals)</t>
  </si>
  <si>
    <t>Years to retirement (years, no decimals)</t>
  </si>
  <si>
    <t>Expected years in retirement (years)</t>
  </si>
  <si>
    <t>Expected basic pay one year before retirement</t>
  </si>
  <si>
    <t>We shall assume this pension is the average of the two basic pays estimated in B15 and B16</t>
  </si>
  <si>
    <t>If the NPS can provide the same inflation-indexed pension as UPS, then there is no need to switch to UPS. If NPS shortfall is significant, you probably can consider switching to UPS. Either way invest as much as possible outside of NPS/UPS</t>
  </si>
  <si>
    <t>Current DA rate</t>
  </si>
  <si>
    <t>This assumes the DA rate increases in each year of future service by 5% from what it is today</t>
  </si>
  <si>
    <t>If this is less than your expected years in retirement, the remaining NPS corpus cannot provide inflation indexation via systematic withdrawals. If this is significantly lower than your expected years in retirement, UPS is better than NPS</t>
  </si>
  <si>
    <t>Expected UPS lump sum at retirement. This is a relatively small amount and not used to decide between NPS and UPS</t>
  </si>
  <si>
    <r>
      <t>Underlying logic:</t>
    </r>
    <r>
      <rPr>
        <sz val="24"/>
        <color theme="1"/>
        <rFont val="Aptos Narrow"/>
        <family val="2"/>
        <scheme val="minor"/>
      </rPr>
      <t xml:space="preserve"> Can your future NPS corpus provide the same pension expected from UPS (with inflation indexation)? Part of this pension is provided from the NPS annuity. Inflation indexation is provided via systematic withdrawals from the balance NPS corpus (if any!). If the answer is yes, then stay in NPS. If the answer is no, find out how much is the shortfall. For example, you expect to live 30 years after retirement and NPS can provided inflation indexed pension for 29 years. The short fall (1Y) is small. NPS and UPS are still comparable. If the short fall is large (several years) then UPS is better than NPS</t>
    </r>
  </si>
  <si>
    <t>Please wait for the official UPS circular, understand the terms and conditions of the UPS well and then take a call</t>
  </si>
  <si>
    <r>
      <t>Caution and Disclaimer:</t>
    </r>
    <r>
      <rPr>
        <sz val="24"/>
        <color theme="1"/>
        <rFont val="Aptos Narrow"/>
        <family val="2"/>
        <scheme val="minor"/>
      </rPr>
      <t xml:space="preserve"> This calculator is based on the initial UPS press release and involves several projections. There maybe significant deviations between these numbers and real life values. </t>
    </r>
    <r>
      <rPr>
        <b/>
        <sz val="24"/>
        <color theme="1"/>
        <rFont val="Aptos Narrow"/>
        <family val="2"/>
        <scheme val="minor"/>
      </rPr>
      <t>This must be treated as a guesstimate. Use with discretion. This calculator may have bugs and errors in understanding. Please check all formulae to see if they make sense. For feedback and bug reports email: freefincal@gmail.com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</si>
</sst>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6" formatCode="_ * #,##0_ ;_ * \-#,##0_ ;_ * &quot;-&quot;??_ ;_ @_ "/>
  </numFmts>
  <fonts count="3" x14ac:knownFonts="1">
    <font>
      <sz val="24"/>
      <color theme="1"/>
      <name val="Aptos Narrow"/>
      <family val="2"/>
      <scheme val="minor"/>
    </font>
    <font>
      <sz val="24"/>
      <color theme="1"/>
      <name val="Aptos Narrow"/>
      <family val="2"/>
      <scheme val="minor"/>
    </font>
    <font>
      <b/>
      <sz val="24"/>
      <color theme="1"/>
      <name val="Aptos Narrow"/>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5">
    <xf numFmtId="0" fontId="0" fillId="0" borderId="0" xfId="0"/>
    <xf numFmtId="166" fontId="0" fillId="0" borderId="0" xfId="1" applyNumberFormat="1" applyFont="1"/>
    <xf numFmtId="0" fontId="0" fillId="0" borderId="1" xfId="0" applyBorder="1"/>
    <xf numFmtId="0" fontId="0" fillId="0" borderId="1" xfId="0" applyBorder="1" applyAlignment="1">
      <alignment vertical="center"/>
    </xf>
    <xf numFmtId="9" fontId="0" fillId="2" borderId="1" xfId="0" applyNumberFormat="1" applyFill="1" applyBorder="1" applyAlignment="1">
      <alignment horizontal="center" vertical="center"/>
    </xf>
    <xf numFmtId="0" fontId="0" fillId="0" borderId="1" xfId="0" applyBorder="1" applyAlignment="1">
      <alignment wrapText="1"/>
    </xf>
    <xf numFmtId="10" fontId="0" fillId="0" borderId="1" xfId="2" applyNumberFormat="1" applyFont="1" applyBorder="1"/>
    <xf numFmtId="43" fontId="0" fillId="0" borderId="1" xfId="0" applyNumberFormat="1" applyBorder="1"/>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6" fontId="0" fillId="0" borderId="1" xfId="0" applyNumberFormat="1" applyBorder="1" applyAlignment="1">
      <alignment horizontal="center" vertical="center"/>
    </xf>
    <xf numFmtId="0" fontId="2" fillId="0" borderId="0" xfId="0" applyFont="1"/>
    <xf numFmtId="0" fontId="0" fillId="3" borderId="1" xfId="0" applyFill="1" applyBorder="1"/>
    <xf numFmtId="0" fontId="0" fillId="2" borderId="1" xfId="0" applyFill="1" applyBorder="1" applyAlignment="1">
      <alignment horizontal="center" vertical="center"/>
    </xf>
    <xf numFmtId="166" fontId="0" fillId="0" borderId="1" xfId="1" applyNumberFormat="1" applyFont="1" applyBorder="1" applyAlignment="1">
      <alignment horizontal="center" vertical="center"/>
    </xf>
    <xf numFmtId="43" fontId="0" fillId="0" borderId="1" xfId="0" applyNumberFormat="1" applyBorder="1" applyAlignment="1">
      <alignment horizontal="center" vertical="center"/>
    </xf>
    <xf numFmtId="0" fontId="2" fillId="0" borderId="1" xfId="0" applyFont="1" applyBorder="1" applyAlignment="1">
      <alignment horizontal="center" vertical="center"/>
    </xf>
    <xf numFmtId="166" fontId="0" fillId="3" borderId="1" xfId="0" applyNumberFormat="1" applyFill="1" applyBorder="1"/>
    <xf numFmtId="0" fontId="2" fillId="0" borderId="1" xfId="0" applyFont="1" applyBorder="1" applyAlignment="1">
      <alignment horizontal="center" wrapText="1"/>
    </xf>
    <xf numFmtId="0" fontId="2" fillId="0" borderId="1" xfId="0" applyFont="1" applyBorder="1"/>
    <xf numFmtId="0" fontId="2" fillId="0" borderId="1" xfId="0" applyFont="1" applyBorder="1" applyAlignment="1">
      <alignment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41D63-DEAE-49B4-A507-9D8F9379E3D5}">
  <dimension ref="A1:K50"/>
  <sheetViews>
    <sheetView tabSelected="1" zoomScale="85" zoomScaleNormal="85" workbookViewId="0">
      <selection activeCell="A5" sqref="A5:C6"/>
    </sheetView>
  </sheetViews>
  <sheetFormatPr defaultRowHeight="31" x14ac:dyDescent="0.7"/>
  <cols>
    <col min="1" max="1" width="42.83203125" bestFit="1" customWidth="1"/>
    <col min="2" max="2" width="13.58203125" bestFit="1" customWidth="1"/>
    <col min="3" max="3" width="50.0390625" customWidth="1"/>
    <col min="7" max="7" width="12.4140625" bestFit="1" customWidth="1"/>
    <col min="8" max="8" width="12.08203125" bestFit="1" customWidth="1"/>
    <col min="9" max="9" width="11.375" bestFit="1" customWidth="1"/>
    <col min="10" max="10" width="15.7890625" bestFit="1" customWidth="1"/>
    <col min="11" max="11" width="15.0390625" bestFit="1" customWidth="1"/>
  </cols>
  <sheetData>
    <row r="1" spans="1:11" ht="80" customHeight="1" x14ac:dyDescent="0.7">
      <c r="A1" s="19" t="s">
        <v>41</v>
      </c>
      <c r="B1" s="19"/>
      <c r="C1" s="19"/>
      <c r="F1" s="13" t="s">
        <v>17</v>
      </c>
      <c r="G1" s="13" t="s">
        <v>18</v>
      </c>
      <c r="H1" s="13" t="s">
        <v>19</v>
      </c>
      <c r="I1" s="13" t="s">
        <v>20</v>
      </c>
      <c r="J1" s="13" t="s">
        <v>21</v>
      </c>
      <c r="K1" s="13" t="s">
        <v>22</v>
      </c>
    </row>
    <row r="2" spans="1:11" ht="63" customHeight="1" x14ac:dyDescent="0.7">
      <c r="A2" s="19"/>
      <c r="B2" s="19"/>
      <c r="C2" s="19"/>
      <c r="F2" s="13">
        <v>1</v>
      </c>
      <c r="G2" s="18">
        <f>B23*12</f>
        <v>608828.96682761481</v>
      </c>
      <c r="H2" s="18">
        <f>G2</f>
        <v>608828.96682761481</v>
      </c>
      <c r="I2" s="18">
        <f>G2-H2</f>
        <v>0</v>
      </c>
      <c r="J2" s="18">
        <f>IF(B25&gt;0,(B25-I2)*(1+$B$17),0)</f>
        <v>968062.74934002897</v>
      </c>
      <c r="K2" s="18">
        <v>0</v>
      </c>
    </row>
    <row r="3" spans="1:11" x14ac:dyDescent="0.7">
      <c r="A3" s="20" t="s">
        <v>40</v>
      </c>
      <c r="B3" s="2"/>
      <c r="C3" s="2"/>
      <c r="F3" s="13">
        <f>IF(F2&gt;=$B$10,"",F2+1)</f>
        <v>2</v>
      </c>
      <c r="G3" s="18">
        <f>IF(F3="","",G2*(1+$B$19))</f>
        <v>639270.41516899562</v>
      </c>
      <c r="H3" s="18">
        <f>IF(F3="","",H2)</f>
        <v>608828.96682761481</v>
      </c>
      <c r="I3" s="18">
        <f>IF(F3="","",G3-H3)</f>
        <v>30441.448341380805</v>
      </c>
      <c r="J3" s="18">
        <f>IF(F3="","",(J2-I3)*(1+$B$17))</f>
        <v>1012631.0050785401</v>
      </c>
      <c r="K3" s="18">
        <f>IF(AND(J2&gt;0,J3&lt;=0),F3,0)</f>
        <v>0</v>
      </c>
    </row>
    <row r="4" spans="1:11" x14ac:dyDescent="0.7">
      <c r="A4" s="22"/>
      <c r="B4" s="23"/>
      <c r="C4" s="24"/>
      <c r="F4" s="13">
        <f>IF(F3&gt;=$B$10,"",F3+1)</f>
        <v>3</v>
      </c>
      <c r="G4" s="18">
        <f>IF(F4="","",G3*(1+$B$19))</f>
        <v>671233.93592744542</v>
      </c>
      <c r="H4" s="18">
        <f t="shared" ref="H4:H50" si="0">IF(F4="","",H3)</f>
        <v>608828.96682761481</v>
      </c>
      <c r="I4" s="18">
        <f t="shared" ref="I4:I50" si="1">IF(F4="","",G4-H4)</f>
        <v>62404.969099830603</v>
      </c>
      <c r="J4" s="18">
        <f>IF(F4="","",(J3-I4)*(1+$B$17))</f>
        <v>1026244.1188570063</v>
      </c>
      <c r="K4" s="18">
        <f t="shared" ref="K4:K50" si="2">IF(AND(J3&gt;0,J4&lt;=0),F4,0)</f>
        <v>0</v>
      </c>
    </row>
    <row r="5" spans="1:11" ht="71" customHeight="1" x14ac:dyDescent="0.7">
      <c r="A5" s="21" t="s">
        <v>39</v>
      </c>
      <c r="B5" s="21"/>
      <c r="C5" s="21"/>
      <c r="F5" s="13">
        <f>IF(F4&gt;=$B$10,"",F4+1)</f>
        <v>4</v>
      </c>
      <c r="G5" s="18">
        <f>IF(F5="","",G4*(1+$B$19))</f>
        <v>704795.63272381772</v>
      </c>
      <c r="H5" s="18">
        <f t="shared" si="0"/>
        <v>608828.96682761481</v>
      </c>
      <c r="I5" s="18">
        <f t="shared" si="1"/>
        <v>95966.665896202903</v>
      </c>
      <c r="J5" s="18">
        <f>IF(F5="","",(J4-I5)*(1+$B$17))</f>
        <v>1004699.6491976677</v>
      </c>
      <c r="K5" s="18">
        <f t="shared" si="2"/>
        <v>0</v>
      </c>
    </row>
    <row r="6" spans="1:11" ht="79" customHeight="1" x14ac:dyDescent="0.7">
      <c r="A6" s="21"/>
      <c r="B6" s="21"/>
      <c r="C6" s="21"/>
      <c r="F6" s="13">
        <f>IF(F5&gt;=$B$10,"",F5+1)</f>
        <v>5</v>
      </c>
      <c r="G6" s="18">
        <f>IF(F6="","",G5*(1+$B$19))</f>
        <v>740035.41436000867</v>
      </c>
      <c r="H6" s="18">
        <f t="shared" si="0"/>
        <v>608828.96682761481</v>
      </c>
      <c r="I6" s="18">
        <f t="shared" si="1"/>
        <v>131206.44753239385</v>
      </c>
      <c r="J6" s="18">
        <f>IF(F6="","",(J5-I6)*(1+$B$17))</f>
        <v>943372.65779849584</v>
      </c>
      <c r="K6" s="18">
        <f t="shared" si="2"/>
        <v>0</v>
      </c>
    </row>
    <row r="7" spans="1:11" x14ac:dyDescent="0.7">
      <c r="A7" s="12" t="s">
        <v>28</v>
      </c>
      <c r="F7" s="13">
        <f>IF(F6&gt;=$B$10,"",F6+1)</f>
        <v>6</v>
      </c>
      <c r="G7" s="18">
        <f>IF(F7="","",G6*(1+$B$19))</f>
        <v>777037.18507800915</v>
      </c>
      <c r="H7" s="18">
        <f t="shared" si="0"/>
        <v>608828.96682761481</v>
      </c>
      <c r="I7" s="18">
        <f t="shared" si="1"/>
        <v>168208.21825039433</v>
      </c>
      <c r="J7" s="18">
        <f>IF(F7="","",(J6-I7)*(1+$B$17))</f>
        <v>837177.5947119497</v>
      </c>
      <c r="K7" s="18">
        <f t="shared" si="2"/>
        <v>0</v>
      </c>
    </row>
    <row r="8" spans="1:11" x14ac:dyDescent="0.7">
      <c r="A8" s="2" t="s">
        <v>29</v>
      </c>
      <c r="B8" s="14">
        <v>15</v>
      </c>
      <c r="C8" s="2"/>
      <c r="F8" s="13">
        <f>IF(F7&gt;=$B$10,"",F7+1)</f>
        <v>7</v>
      </c>
      <c r="G8" s="18">
        <f>IF(F8="","",G7*(1+$B$19))</f>
        <v>815889.04433190962</v>
      </c>
      <c r="H8" s="18">
        <f t="shared" si="0"/>
        <v>608828.96682761481</v>
      </c>
      <c r="I8" s="18">
        <f t="shared" si="1"/>
        <v>207060.07750429481</v>
      </c>
      <c r="J8" s="18">
        <f>IF(F8="","",(J7-I8)*(1+$B$17))</f>
        <v>680526.91858426738</v>
      </c>
      <c r="K8" s="18">
        <f t="shared" si="2"/>
        <v>0</v>
      </c>
    </row>
    <row r="9" spans="1:11" x14ac:dyDescent="0.7">
      <c r="A9" s="2" t="s">
        <v>30</v>
      </c>
      <c r="B9" s="14">
        <v>15</v>
      </c>
      <c r="C9" s="2"/>
      <c r="F9" s="13">
        <f>IF(F8&gt;=$B$10,"",F8+1)</f>
        <v>8</v>
      </c>
      <c r="G9" s="18">
        <f>IF(F9="","",G8*(1+$B$19))</f>
        <v>856683.49654850515</v>
      </c>
      <c r="H9" s="18">
        <f t="shared" si="0"/>
        <v>608828.96682761481</v>
      </c>
      <c r="I9" s="18">
        <f t="shared" si="1"/>
        <v>247854.52972089034</v>
      </c>
      <c r="J9" s="18">
        <f>IF(F9="","",(J8-I9)*(1+$B$17))</f>
        <v>467286.17997244722</v>
      </c>
      <c r="K9" s="18">
        <f t="shared" si="2"/>
        <v>0</v>
      </c>
    </row>
    <row r="10" spans="1:11" x14ac:dyDescent="0.7">
      <c r="A10" s="5" t="s">
        <v>31</v>
      </c>
      <c r="B10" s="14">
        <v>30</v>
      </c>
      <c r="C10" s="2" t="s">
        <v>16</v>
      </c>
      <c r="F10" s="13">
        <f>IF(F9&gt;=$B$10,"",F9+1)</f>
        <v>9</v>
      </c>
      <c r="G10" s="18">
        <f>IF(F10="","",G9*(1+$B$19))</f>
        <v>899517.67137593043</v>
      </c>
      <c r="H10" s="18">
        <f t="shared" si="0"/>
        <v>608828.96682761481</v>
      </c>
      <c r="I10" s="18">
        <f t="shared" si="1"/>
        <v>290688.70454831561</v>
      </c>
      <c r="J10" s="18">
        <f>IF(F10="","",(J9-I10)*(1+$B$17))</f>
        <v>190725.27345806215</v>
      </c>
      <c r="K10" s="18">
        <f t="shared" si="2"/>
        <v>0</v>
      </c>
    </row>
    <row r="11" spans="1:11" x14ac:dyDescent="0.7">
      <c r="A11" s="2" t="s">
        <v>12</v>
      </c>
      <c r="B11" s="14">
        <v>50000</v>
      </c>
      <c r="C11" s="2"/>
      <c r="F11" s="13">
        <f>IF(F10&gt;=$B$10,"",F10+1)</f>
        <v>10</v>
      </c>
      <c r="G11" s="18">
        <f>IF(F11="","",G10*(1+$B$19))</f>
        <v>944493.55494472699</v>
      </c>
      <c r="H11" s="18">
        <f t="shared" si="0"/>
        <v>608828.96682761481</v>
      </c>
      <c r="I11" s="18">
        <f t="shared" si="1"/>
        <v>335664.58811711217</v>
      </c>
      <c r="J11" s="18">
        <f>IF(F11="","",(J10-I11)*(1+$B$17))</f>
        <v>-156534.45983177403</v>
      </c>
      <c r="K11" s="18">
        <f t="shared" si="2"/>
        <v>10</v>
      </c>
    </row>
    <row r="12" spans="1:11" x14ac:dyDescent="0.7">
      <c r="A12" s="2" t="s">
        <v>35</v>
      </c>
      <c r="B12" s="4">
        <v>0.5</v>
      </c>
      <c r="C12" s="2" t="s">
        <v>24</v>
      </c>
      <c r="F12" s="13">
        <f>IF(F11&gt;=$B$10,"",F11+1)</f>
        <v>11</v>
      </c>
      <c r="G12" s="18">
        <f>IF(F12="","",G11*(1+$B$19))</f>
        <v>991718.23269196344</v>
      </c>
      <c r="H12" s="18">
        <f t="shared" si="0"/>
        <v>608828.96682761481</v>
      </c>
      <c r="I12" s="18">
        <f t="shared" si="1"/>
        <v>382889.26586434862</v>
      </c>
      <c r="J12" s="18">
        <f>IF(F12="","",(J11-I12)*(1+$B$17))</f>
        <v>-582577.6237518125</v>
      </c>
      <c r="K12" s="18">
        <f t="shared" si="2"/>
        <v>0</v>
      </c>
    </row>
    <row r="13" spans="1:11" ht="62" x14ac:dyDescent="0.7">
      <c r="A13" s="3" t="s">
        <v>0</v>
      </c>
      <c r="B13" s="4">
        <v>0.05</v>
      </c>
      <c r="C13" s="5" t="s">
        <v>1</v>
      </c>
      <c r="F13" s="13">
        <f>IF(F12&gt;=$B$10,"",F12+1)</f>
        <v>12</v>
      </c>
      <c r="G13" s="18">
        <f>IF(F13="","",G12*(1+$B$19))</f>
        <v>1041304.1443265616</v>
      </c>
      <c r="H13" s="18">
        <f t="shared" si="0"/>
        <v>608828.96682761481</v>
      </c>
      <c r="I13" s="18">
        <f t="shared" si="1"/>
        <v>432475.17749894678</v>
      </c>
      <c r="J13" s="18">
        <f>IF(F13="","",(J12-I13)*(1+$B$17))</f>
        <v>-1096257.02535082</v>
      </c>
      <c r="K13" s="18">
        <f t="shared" si="2"/>
        <v>0</v>
      </c>
    </row>
    <row r="14" spans="1:11" x14ac:dyDescent="0.7">
      <c r="A14" s="2" t="s">
        <v>2</v>
      </c>
      <c r="B14" s="14">
        <v>18000</v>
      </c>
      <c r="C14" s="2"/>
      <c r="F14" s="13">
        <f>IF(F13&gt;=$B$10,"",F13+1)</f>
        <v>13</v>
      </c>
      <c r="G14" s="18">
        <f>IF(F14="","",G13*(1+$B$19))</f>
        <v>1093369.3515428896</v>
      </c>
      <c r="H14" s="18">
        <f t="shared" si="0"/>
        <v>608828.96682761481</v>
      </c>
      <c r="I14" s="18">
        <f t="shared" si="1"/>
        <v>484540.38471527479</v>
      </c>
      <c r="J14" s="18">
        <f>IF(F14="","",(J13-I14)*(1+$B$17))</f>
        <v>-1707261.2028713825</v>
      </c>
      <c r="K14" s="18">
        <f t="shared" si="2"/>
        <v>0</v>
      </c>
    </row>
    <row r="15" spans="1:11" x14ac:dyDescent="0.7">
      <c r="A15" s="2" t="s">
        <v>3</v>
      </c>
      <c r="B15" s="4">
        <v>0.05</v>
      </c>
      <c r="C15" s="5" t="s">
        <v>4</v>
      </c>
      <c r="F15" s="13">
        <f>IF(F14&gt;=$B$10,"",F14+1)</f>
        <v>14</v>
      </c>
      <c r="G15" s="18">
        <f>IF(F15="","",G14*(1+$B$19))</f>
        <v>1148037.8191200341</v>
      </c>
      <c r="H15" s="18">
        <f t="shared" si="0"/>
        <v>608828.96682761481</v>
      </c>
      <c r="I15" s="18">
        <f t="shared" si="1"/>
        <v>539208.85229241929</v>
      </c>
      <c r="J15" s="18">
        <f>IF(F15="","",(J14-I15)*(1+$B$17))</f>
        <v>-2426187.6595769059</v>
      </c>
      <c r="K15" s="18">
        <f t="shared" si="2"/>
        <v>0</v>
      </c>
    </row>
    <row r="16" spans="1:11" x14ac:dyDescent="0.7">
      <c r="A16" s="2" t="s">
        <v>5</v>
      </c>
      <c r="B16" s="14">
        <v>1000000</v>
      </c>
      <c r="C16" s="2"/>
      <c r="F16" s="13">
        <f>IF(F15&gt;=$B$10,"",F15+1)</f>
        <v>15</v>
      </c>
      <c r="G16" s="18">
        <f>IF(F16="","",G15*(1+$B$19))</f>
        <v>1205439.7100760359</v>
      </c>
      <c r="H16" s="18">
        <f t="shared" si="0"/>
        <v>608828.96682761481</v>
      </c>
      <c r="I16" s="18">
        <f t="shared" si="1"/>
        <v>596610.74324842112</v>
      </c>
      <c r="J16" s="18">
        <f>IF(F16="","",(J15-I16)*(1+$B$17))</f>
        <v>-3264622.2750513535</v>
      </c>
      <c r="K16" s="18">
        <f t="shared" si="2"/>
        <v>0</v>
      </c>
    </row>
    <row r="17" spans="1:11" x14ac:dyDescent="0.7">
      <c r="A17" s="2" t="s">
        <v>6</v>
      </c>
      <c r="B17" s="4">
        <v>0.08</v>
      </c>
      <c r="C17" s="6" t="s">
        <v>7</v>
      </c>
      <c r="F17" s="13">
        <f>IF(F16&gt;=$B$10,"",F16+1)</f>
        <v>16</v>
      </c>
      <c r="G17" s="18">
        <f>IF(F17="","",G16*(1+$B$19))</f>
        <v>1265711.6955798378</v>
      </c>
      <c r="H17" s="18">
        <f t="shared" si="0"/>
        <v>608828.96682761481</v>
      </c>
      <c r="I17" s="18">
        <f t="shared" si="1"/>
        <v>656882.72875222296</v>
      </c>
      <c r="J17" s="18">
        <f>IF(F17="","",(J16-I17)*(1+$B$17))</f>
        <v>-4235225.4041078631</v>
      </c>
      <c r="K17" s="18">
        <f t="shared" si="2"/>
        <v>0</v>
      </c>
    </row>
    <row r="18" spans="1:11" x14ac:dyDescent="0.7">
      <c r="A18" s="2" t="s">
        <v>11</v>
      </c>
      <c r="B18" s="4">
        <v>0.06</v>
      </c>
      <c r="C18" s="6" t="s">
        <v>7</v>
      </c>
      <c r="F18" s="13">
        <f>IF(F17&gt;=$B$10,"",F17+1)</f>
        <v>17</v>
      </c>
      <c r="G18" s="18">
        <f>IF(F18="","",G17*(1+$B$19))</f>
        <v>1328997.2803588298</v>
      </c>
      <c r="H18" s="18">
        <f t="shared" si="0"/>
        <v>608828.96682761481</v>
      </c>
      <c r="I18" s="18">
        <f t="shared" si="1"/>
        <v>720168.31353121495</v>
      </c>
      <c r="J18" s="18">
        <f>IF(F18="","",(J17-I18)*(1+$B$17))</f>
        <v>-5351825.2150502047</v>
      </c>
      <c r="K18" s="18">
        <f t="shared" si="2"/>
        <v>0</v>
      </c>
    </row>
    <row r="19" spans="1:11" x14ac:dyDescent="0.7">
      <c r="A19" s="2" t="s">
        <v>15</v>
      </c>
      <c r="B19" s="4">
        <v>0.05</v>
      </c>
      <c r="C19" s="6" t="s">
        <v>7</v>
      </c>
      <c r="F19" s="13">
        <f>IF(F18&gt;=$B$10,"",F18+1)</f>
        <v>18</v>
      </c>
      <c r="G19" s="18">
        <f>IF(F19="","",G18*(1+$B$19))</f>
        <v>1395447.1443767713</v>
      </c>
      <c r="H19" s="18">
        <f t="shared" si="0"/>
        <v>608828.96682761481</v>
      </c>
      <c r="I19" s="18">
        <f t="shared" si="1"/>
        <v>786618.17754915648</v>
      </c>
      <c r="J19" s="18">
        <f>IF(F19="","",(J18-I19)*(1+$B$17))</f>
        <v>-6629518.86400731</v>
      </c>
      <c r="K19" s="18">
        <f t="shared" si="2"/>
        <v>0</v>
      </c>
    </row>
    <row r="20" spans="1:11" x14ac:dyDescent="0.7">
      <c r="A20" s="2" t="s">
        <v>8</v>
      </c>
      <c r="B20" s="15">
        <f>B16*(1+B17)^B9+12*B14*((1+B17)^B9-(1+B15)^B9)/(B17-B15)</f>
        <v>11043503.844663978</v>
      </c>
      <c r="C20" s="2"/>
      <c r="F20" s="13">
        <f>IF(F19&gt;=$B$10,"",F19+1)</f>
        <v>19</v>
      </c>
      <c r="G20" s="18">
        <f>IF(F20="","",G19*(1+$B$19))</f>
        <v>1465219.5015956098</v>
      </c>
      <c r="H20" s="18">
        <f t="shared" si="0"/>
        <v>608828.96682761481</v>
      </c>
      <c r="I20" s="18">
        <f t="shared" si="1"/>
        <v>856390.53476799501</v>
      </c>
      <c r="J20" s="18">
        <f>IF(F20="","",(J19-I20)*(1+$B$17))</f>
        <v>-8084782.1506773299</v>
      </c>
      <c r="K20" s="18">
        <f t="shared" si="2"/>
        <v>0</v>
      </c>
    </row>
    <row r="21" spans="1:11" x14ac:dyDescent="0.7">
      <c r="A21" s="2" t="s">
        <v>32</v>
      </c>
      <c r="B21" s="1">
        <f>B11*(1+B13)^(B9-1)</f>
        <v>98996.57997196987</v>
      </c>
      <c r="F21" s="13">
        <f>IF(F20&gt;=$B$10,"",F20+1)</f>
        <v>20</v>
      </c>
      <c r="G21" s="18">
        <f>IF(F21="","",G20*(1+$B$19))</f>
        <v>1538480.4766753903</v>
      </c>
      <c r="H21" s="18">
        <f t="shared" si="0"/>
        <v>608828.96682761481</v>
      </c>
      <c r="I21" s="18">
        <f t="shared" si="1"/>
        <v>929651.50984777545</v>
      </c>
      <c r="J21" s="18">
        <f>IF(F21="","",(J20-I21)*(1+$B$17))</f>
        <v>-9735588.3533671144</v>
      </c>
      <c r="K21" s="18">
        <f t="shared" si="2"/>
        <v>0</v>
      </c>
    </row>
    <row r="22" spans="1:11" x14ac:dyDescent="0.7">
      <c r="A22" s="2" t="s">
        <v>9</v>
      </c>
      <c r="B22" s="15">
        <f>B11*(1+B13)^B9</f>
        <v>103946.40897056839</v>
      </c>
      <c r="C22" s="2"/>
      <c r="F22" s="13">
        <f>IF(F21&gt;=$B$10,"",F21+1)</f>
        <v>21</v>
      </c>
      <c r="G22" s="18">
        <f>IF(F22="","",G21*(1+$B$19))</f>
        <v>1615404.5005091599</v>
      </c>
      <c r="H22" s="18">
        <f t="shared" si="0"/>
        <v>608828.96682761481</v>
      </c>
      <c r="I22" s="18">
        <f t="shared" si="1"/>
        <v>1006575.5336815451</v>
      </c>
      <c r="J22" s="18">
        <f>IF(F22="","",(J21-I22)*(1+$B$17))</f>
        <v>-11601536.998012554</v>
      </c>
      <c r="K22" s="18">
        <f t="shared" si="2"/>
        <v>0</v>
      </c>
    </row>
    <row r="23" spans="1:11" ht="62" x14ac:dyDescent="0.7">
      <c r="A23" s="2" t="s">
        <v>10</v>
      </c>
      <c r="B23" s="16">
        <f>IF((B8+B9)&gt;=25,0.5,0.5*(B8+B9)/25)*(B22+B21)/2</f>
        <v>50735.747235634568</v>
      </c>
      <c r="C23" s="5" t="s">
        <v>33</v>
      </c>
      <c r="F23" s="13">
        <f>IF(F22&gt;=$B$10,"",F22+1)</f>
        <v>22</v>
      </c>
      <c r="G23" s="18">
        <f>IF(F23="","",G22*(1+$B$19))</f>
        <v>1696174.7255346179</v>
      </c>
      <c r="H23" s="18">
        <f t="shared" si="0"/>
        <v>608828.96682761481</v>
      </c>
      <c r="I23" s="18">
        <f t="shared" si="1"/>
        <v>1087345.7587070032</v>
      </c>
      <c r="J23" s="18">
        <f>IF(F23="","",(J22-I23)*(1+$B$17))</f>
        <v>-13703993.377257124</v>
      </c>
      <c r="K23" s="18">
        <f t="shared" si="2"/>
        <v>0</v>
      </c>
    </row>
    <row r="24" spans="1:11" x14ac:dyDescent="0.7">
      <c r="A24" s="2" t="s">
        <v>14</v>
      </c>
      <c r="B24" s="11">
        <f>12*B23/B18</f>
        <v>10147149.447126914</v>
      </c>
      <c r="C24" s="7"/>
      <c r="F24" s="13">
        <f>IF(F23&gt;=$B$10,"",F23+1)</f>
        <v>23</v>
      </c>
      <c r="G24" s="18">
        <f>IF(F24="","",G23*(1+$B$19))</f>
        <v>1780983.4618113488</v>
      </c>
      <c r="H24" s="18">
        <f t="shared" si="0"/>
        <v>608828.96682761481</v>
      </c>
      <c r="I24" s="18">
        <f t="shared" si="1"/>
        <v>1172154.4949837341</v>
      </c>
      <c r="J24" s="18">
        <f>IF(F24="","",(J23-I24)*(1+$B$17))</f>
        <v>-16066239.702020127</v>
      </c>
      <c r="K24" s="18">
        <f t="shared" si="2"/>
        <v>0</v>
      </c>
    </row>
    <row r="25" spans="1:11" x14ac:dyDescent="0.7">
      <c r="A25" s="2" t="s">
        <v>13</v>
      </c>
      <c r="B25" s="16">
        <f>B20-B24</f>
        <v>896354.39753706381</v>
      </c>
      <c r="C25" s="2"/>
      <c r="F25" s="13">
        <f>IF(F24&gt;=$B$10,"",F24+1)</f>
        <v>24</v>
      </c>
      <c r="G25" s="18">
        <f>IF(F25="","",G24*(1+$B$19))</f>
        <v>1870032.6349019164</v>
      </c>
      <c r="H25" s="18">
        <f t="shared" si="0"/>
        <v>608828.96682761481</v>
      </c>
      <c r="I25" s="18">
        <f t="shared" si="1"/>
        <v>1261203.6680743014</v>
      </c>
      <c r="J25" s="18">
        <f>IF(F25="","",(J24-I25)*(1+$B$17))</f>
        <v>-18713638.839701984</v>
      </c>
      <c r="K25" s="18">
        <f t="shared" si="2"/>
        <v>0</v>
      </c>
    </row>
    <row r="26" spans="1:11" ht="124" x14ac:dyDescent="0.7">
      <c r="A26" s="9" t="s">
        <v>23</v>
      </c>
      <c r="B26" s="9">
        <f>IF(B25&lt;0,0,IF(SUM(K2:K50)=0,B10,SUM(K2:K50)))</f>
        <v>10</v>
      </c>
      <c r="C26" s="5" t="s">
        <v>37</v>
      </c>
      <c r="F26" s="13">
        <f>IF(F25&gt;=$B$10,"",F25+1)</f>
        <v>25</v>
      </c>
      <c r="G26" s="18">
        <f>IF(F26="","",G25*(1+$B$19))</f>
        <v>1963534.2666470122</v>
      </c>
      <c r="H26" s="18">
        <f t="shared" si="0"/>
        <v>608828.96682761481</v>
      </c>
      <c r="I26" s="18">
        <f t="shared" si="1"/>
        <v>1354705.2998193973</v>
      </c>
      <c r="J26" s="18">
        <f>IF(F26="","",(J25-I26)*(1+$B$17))</f>
        <v>-21673811.670683093</v>
      </c>
      <c r="K26" s="18">
        <f t="shared" si="2"/>
        <v>0</v>
      </c>
    </row>
    <row r="27" spans="1:11" ht="124" x14ac:dyDescent="0.7">
      <c r="A27" s="8" t="s">
        <v>27</v>
      </c>
      <c r="B27" s="17" t="str">
        <f>IF(B25&lt;0,"No",IF(B26&lt;B10,"No","Yes"))</f>
        <v>No</v>
      </c>
      <c r="C27" s="5" t="s">
        <v>34</v>
      </c>
      <c r="F27" s="13">
        <f>IF(F26&gt;=$B$10,"",F26+1)</f>
        <v>26</v>
      </c>
      <c r="G27" s="18">
        <f>IF(F27="","",G26*(1+$B$19))</f>
        <v>2061710.9799793628</v>
      </c>
      <c r="H27" s="18">
        <f t="shared" si="0"/>
        <v>608828.96682761481</v>
      </c>
      <c r="I27" s="18">
        <f t="shared" si="1"/>
        <v>1452882.0131517481</v>
      </c>
      <c r="J27" s="18">
        <f>IF(F27="","",(J26-I27)*(1+$B$17))</f>
        <v>-24976829.178541634</v>
      </c>
      <c r="K27" s="18">
        <f t="shared" si="2"/>
        <v>0</v>
      </c>
    </row>
    <row r="28" spans="1:11" ht="62" x14ac:dyDescent="0.7">
      <c r="A28" s="2" t="s">
        <v>25</v>
      </c>
      <c r="B28" s="15">
        <f>(B12+(B15*B9))*B21</f>
        <v>123745.72496496234</v>
      </c>
      <c r="C28" s="5" t="s">
        <v>36</v>
      </c>
      <c r="F28" s="13">
        <f>IF(F27&gt;=$B$10,"",F27+1)</f>
        <v>27</v>
      </c>
      <c r="G28" s="18">
        <f>IF(F28="","",G27*(1+$B$19))</f>
        <v>2164796.528978331</v>
      </c>
      <c r="H28" s="18">
        <f t="shared" si="0"/>
        <v>608828.96682761481</v>
      </c>
      <c r="I28" s="18">
        <f t="shared" si="1"/>
        <v>1555967.5621507163</v>
      </c>
      <c r="J28" s="18">
        <f>IF(F28="","",(J27-I28)*(1+$B$17))</f>
        <v>-28655420.479947742</v>
      </c>
      <c r="K28" s="18">
        <f t="shared" si="2"/>
        <v>0</v>
      </c>
    </row>
    <row r="29" spans="1:11" ht="124" x14ac:dyDescent="0.7">
      <c r="A29" s="10" t="s">
        <v>38</v>
      </c>
      <c r="B29" s="11">
        <f>(B8+B9)*2*(B28+B22)/10</f>
        <v>1366152.8036131845</v>
      </c>
      <c r="C29" s="5" t="s">
        <v>26</v>
      </c>
      <c r="F29" s="13">
        <f>IF(F28&gt;=$B$10,"",F28+1)</f>
        <v>28</v>
      </c>
      <c r="G29" s="18">
        <f>IF(F29="","",G28*(1+$B$19))</f>
        <v>2273036.3554272475</v>
      </c>
      <c r="H29" s="18">
        <f t="shared" si="0"/>
        <v>608828.96682761481</v>
      </c>
      <c r="I29" s="18">
        <f t="shared" si="1"/>
        <v>1664207.3885996328</v>
      </c>
      <c r="J29" s="18">
        <f>IF(F29="","",(J28-I29)*(1+$B$17))</f>
        <v>-32745198.098031167</v>
      </c>
      <c r="K29" s="18">
        <f t="shared" si="2"/>
        <v>0</v>
      </c>
    </row>
    <row r="30" spans="1:11" x14ac:dyDescent="0.7">
      <c r="F30" s="13">
        <f>IF(F29&gt;=$B$10,"",F29+1)</f>
        <v>29</v>
      </c>
      <c r="G30" s="18">
        <f>IF(F30="","",G29*(1+$B$19))</f>
        <v>2386688.1731986101</v>
      </c>
      <c r="H30" s="18">
        <f t="shared" si="0"/>
        <v>608828.96682761481</v>
      </c>
      <c r="I30" s="18">
        <f t="shared" si="1"/>
        <v>1777859.2063709954</v>
      </c>
      <c r="J30" s="18">
        <f>IF(F30="","",(J29-I30)*(1+$B$17))</f>
        <v>-37284901.888754338</v>
      </c>
      <c r="K30" s="18">
        <f t="shared" si="2"/>
        <v>0</v>
      </c>
    </row>
    <row r="31" spans="1:11" x14ac:dyDescent="0.7">
      <c r="F31" s="13">
        <f>IF(F30&gt;=$B$10,"",F30+1)</f>
        <v>30</v>
      </c>
      <c r="G31" s="18">
        <f>IF(F31="","",G30*(1+$B$19))</f>
        <v>2506022.5818585409</v>
      </c>
      <c r="H31" s="18">
        <f t="shared" si="0"/>
        <v>608828.96682761481</v>
      </c>
      <c r="I31" s="18">
        <f t="shared" si="1"/>
        <v>1897193.6150309262</v>
      </c>
      <c r="J31" s="18">
        <f>IF(F31="","",(J30-I31)*(1+$B$17))</f>
        <v>-42316663.144088089</v>
      </c>
      <c r="K31" s="18">
        <f t="shared" si="2"/>
        <v>0</v>
      </c>
    </row>
    <row r="32" spans="1:11" x14ac:dyDescent="0.7">
      <c r="F32" s="13" t="str">
        <f>IF(F31&gt;=$B$10,"",F31+1)</f>
        <v/>
      </c>
      <c r="G32" s="18" t="str">
        <f>IF(F32="","",G31*(1+$B$19))</f>
        <v/>
      </c>
      <c r="H32" s="18" t="str">
        <f t="shared" si="0"/>
        <v/>
      </c>
      <c r="I32" s="18" t="str">
        <f t="shared" si="1"/>
        <v/>
      </c>
      <c r="J32" s="18" t="str">
        <f>IF(F32="","",(J31-I32)*(1+$B$17))</f>
        <v/>
      </c>
      <c r="K32" s="18">
        <f t="shared" si="2"/>
        <v>0</v>
      </c>
    </row>
    <row r="33" spans="6:11" x14ac:dyDescent="0.7">
      <c r="F33" s="13" t="str">
        <f>IF(F32&gt;=$B$10,"",F32+1)</f>
        <v/>
      </c>
      <c r="G33" s="18" t="str">
        <f>IF(F33="","",G32*(1+$B$19))</f>
        <v/>
      </c>
      <c r="H33" s="18" t="str">
        <f t="shared" si="0"/>
        <v/>
      </c>
      <c r="I33" s="18" t="str">
        <f t="shared" si="1"/>
        <v/>
      </c>
      <c r="J33" s="18" t="str">
        <f>IF(F33="","",(J32-I33)*(1+$B$17))</f>
        <v/>
      </c>
      <c r="K33" s="18">
        <f t="shared" si="2"/>
        <v>0</v>
      </c>
    </row>
    <row r="34" spans="6:11" x14ac:dyDescent="0.7">
      <c r="F34" s="13" t="str">
        <f>IF(F33&gt;=$B$10,"",F33+1)</f>
        <v/>
      </c>
      <c r="G34" s="18" t="str">
        <f>IF(F34="","",G33*(1+$B$19))</f>
        <v/>
      </c>
      <c r="H34" s="18" t="str">
        <f t="shared" si="0"/>
        <v/>
      </c>
      <c r="I34" s="18" t="str">
        <f t="shared" si="1"/>
        <v/>
      </c>
      <c r="J34" s="18" t="str">
        <f>IF(F34="","",(J33-I34)*(1+$B$17))</f>
        <v/>
      </c>
      <c r="K34" s="18">
        <f t="shared" si="2"/>
        <v>0</v>
      </c>
    </row>
    <row r="35" spans="6:11" x14ac:dyDescent="0.7">
      <c r="F35" s="13" t="str">
        <f>IF(F34&gt;=$B$10,"",F34+1)</f>
        <v/>
      </c>
      <c r="G35" s="18" t="str">
        <f>IF(F35="","",G34*(1+$B$19))</f>
        <v/>
      </c>
      <c r="H35" s="18" t="str">
        <f t="shared" si="0"/>
        <v/>
      </c>
      <c r="I35" s="18" t="str">
        <f t="shared" si="1"/>
        <v/>
      </c>
      <c r="J35" s="18" t="str">
        <f>IF(F35="","",(J34-I35)*(1+$B$17))</f>
        <v/>
      </c>
      <c r="K35" s="18">
        <f t="shared" si="2"/>
        <v>0</v>
      </c>
    </row>
    <row r="36" spans="6:11" x14ac:dyDescent="0.7">
      <c r="F36" s="13" t="str">
        <f>IF(F35&gt;=$B$10,"",F35+1)</f>
        <v/>
      </c>
      <c r="G36" s="18" t="str">
        <f>IF(F36="","",G35*(1+$B$19))</f>
        <v/>
      </c>
      <c r="H36" s="18" t="str">
        <f t="shared" si="0"/>
        <v/>
      </c>
      <c r="I36" s="18" t="str">
        <f t="shared" si="1"/>
        <v/>
      </c>
      <c r="J36" s="18" t="str">
        <f>IF(F36="","",(J35-I36)*(1+$B$17))</f>
        <v/>
      </c>
      <c r="K36" s="18">
        <f t="shared" si="2"/>
        <v>0</v>
      </c>
    </row>
    <row r="37" spans="6:11" x14ac:dyDescent="0.7">
      <c r="F37" s="13" t="str">
        <f>IF(F36&gt;=$B$10,"",F36+1)</f>
        <v/>
      </c>
      <c r="G37" s="18" t="str">
        <f>IF(F37="","",G36*(1+$B$19))</f>
        <v/>
      </c>
      <c r="H37" s="18" t="str">
        <f t="shared" si="0"/>
        <v/>
      </c>
      <c r="I37" s="18" t="str">
        <f t="shared" si="1"/>
        <v/>
      </c>
      <c r="J37" s="18" t="str">
        <f>IF(F37="","",(J36-I37)*(1+$B$17))</f>
        <v/>
      </c>
      <c r="K37" s="18">
        <f t="shared" si="2"/>
        <v>0</v>
      </c>
    </row>
    <row r="38" spans="6:11" x14ac:dyDescent="0.7">
      <c r="F38" s="13" t="str">
        <f>IF(F37&gt;=$B$10,"",F37+1)</f>
        <v/>
      </c>
      <c r="G38" s="18" t="str">
        <f>IF(F38="","",G37*(1+$B$19))</f>
        <v/>
      </c>
      <c r="H38" s="18" t="str">
        <f t="shared" si="0"/>
        <v/>
      </c>
      <c r="I38" s="18" t="str">
        <f t="shared" si="1"/>
        <v/>
      </c>
      <c r="J38" s="18" t="str">
        <f>IF(F38="","",(J37-I38)*(1+$B$17))</f>
        <v/>
      </c>
      <c r="K38" s="18">
        <f t="shared" si="2"/>
        <v>0</v>
      </c>
    </row>
    <row r="39" spans="6:11" x14ac:dyDescent="0.7">
      <c r="F39" s="13" t="str">
        <f>IF(F38&gt;=$B$10,"",F38+1)</f>
        <v/>
      </c>
      <c r="G39" s="18" t="str">
        <f>IF(F39="","",G38*(1+$B$19))</f>
        <v/>
      </c>
      <c r="H39" s="18" t="str">
        <f t="shared" si="0"/>
        <v/>
      </c>
      <c r="I39" s="18" t="str">
        <f t="shared" si="1"/>
        <v/>
      </c>
      <c r="J39" s="18" t="str">
        <f>IF(F39="","",(J38-I39)*(1+$B$17))</f>
        <v/>
      </c>
      <c r="K39" s="18">
        <f t="shared" si="2"/>
        <v>0</v>
      </c>
    </row>
    <row r="40" spans="6:11" x14ac:dyDescent="0.7">
      <c r="F40" s="13" t="str">
        <f>IF(F39&gt;=$B$10,"",F39+1)</f>
        <v/>
      </c>
      <c r="G40" s="18" t="str">
        <f>IF(F40="","",G39*(1+$B$19))</f>
        <v/>
      </c>
      <c r="H40" s="18" t="str">
        <f t="shared" si="0"/>
        <v/>
      </c>
      <c r="I40" s="18" t="str">
        <f t="shared" si="1"/>
        <v/>
      </c>
      <c r="J40" s="18" t="str">
        <f>IF(F40="","",(J39-I40)*(1+$B$17))</f>
        <v/>
      </c>
      <c r="K40" s="18">
        <f t="shared" si="2"/>
        <v>0</v>
      </c>
    </row>
    <row r="41" spans="6:11" x14ac:dyDescent="0.7">
      <c r="F41" s="13" t="str">
        <f>IF(F40&gt;=$B$10,"",F40+1)</f>
        <v/>
      </c>
      <c r="G41" s="18" t="str">
        <f>IF(F41="","",G40*(1+$B$19))</f>
        <v/>
      </c>
      <c r="H41" s="18" t="str">
        <f t="shared" si="0"/>
        <v/>
      </c>
      <c r="I41" s="18" t="str">
        <f t="shared" si="1"/>
        <v/>
      </c>
      <c r="J41" s="18" t="str">
        <f>IF(F41="","",(J40-I41)*(1+$B$17))</f>
        <v/>
      </c>
      <c r="K41" s="18">
        <f t="shared" si="2"/>
        <v>0</v>
      </c>
    </row>
    <row r="42" spans="6:11" x14ac:dyDescent="0.7">
      <c r="F42" s="13" t="str">
        <f>IF(F41&gt;=$B$10,"",F41+1)</f>
        <v/>
      </c>
      <c r="G42" s="18" t="str">
        <f>IF(F42="","",G41*(1+$B$19))</f>
        <v/>
      </c>
      <c r="H42" s="18" t="str">
        <f t="shared" si="0"/>
        <v/>
      </c>
      <c r="I42" s="18" t="str">
        <f t="shared" si="1"/>
        <v/>
      </c>
      <c r="J42" s="18" t="str">
        <f>IF(F42="","",(J41-I42)*(1+$B$17))</f>
        <v/>
      </c>
      <c r="K42" s="18">
        <f t="shared" si="2"/>
        <v>0</v>
      </c>
    </row>
    <row r="43" spans="6:11" x14ac:dyDescent="0.7">
      <c r="F43" s="13" t="str">
        <f>IF(F42&gt;=$B$10,"",F42+1)</f>
        <v/>
      </c>
      <c r="G43" s="18" t="str">
        <f>IF(F43="","",G42*(1+$B$19))</f>
        <v/>
      </c>
      <c r="H43" s="18" t="str">
        <f t="shared" si="0"/>
        <v/>
      </c>
      <c r="I43" s="18" t="str">
        <f t="shared" si="1"/>
        <v/>
      </c>
      <c r="J43" s="18" t="str">
        <f>IF(F43="","",(J42-I43)*(1+$B$17))</f>
        <v/>
      </c>
      <c r="K43" s="18">
        <f t="shared" si="2"/>
        <v>0</v>
      </c>
    </row>
    <row r="44" spans="6:11" x14ac:dyDescent="0.7">
      <c r="F44" s="13" t="str">
        <f>IF(F43&gt;=$B$10,"",F43+1)</f>
        <v/>
      </c>
      <c r="G44" s="18" t="str">
        <f>IF(F44="","",G43*(1+$B$19))</f>
        <v/>
      </c>
      <c r="H44" s="18" t="str">
        <f t="shared" si="0"/>
        <v/>
      </c>
      <c r="I44" s="18" t="str">
        <f t="shared" si="1"/>
        <v/>
      </c>
      <c r="J44" s="18" t="str">
        <f>IF(F44="","",(J43-I44)*(1+$B$17))</f>
        <v/>
      </c>
      <c r="K44" s="18">
        <f t="shared" si="2"/>
        <v>0</v>
      </c>
    </row>
    <row r="45" spans="6:11" x14ac:dyDescent="0.7">
      <c r="F45" s="13" t="str">
        <f>IF(F44&gt;=$B$10,"",F44+1)</f>
        <v/>
      </c>
      <c r="G45" s="18" t="str">
        <f>IF(F45="","",G44*(1+$B$19))</f>
        <v/>
      </c>
      <c r="H45" s="18" t="str">
        <f t="shared" si="0"/>
        <v/>
      </c>
      <c r="I45" s="18" t="str">
        <f t="shared" si="1"/>
        <v/>
      </c>
      <c r="J45" s="18" t="str">
        <f>IF(F45="","",(J44-I45)*(1+$B$17))</f>
        <v/>
      </c>
      <c r="K45" s="18">
        <f t="shared" si="2"/>
        <v>0</v>
      </c>
    </row>
    <row r="46" spans="6:11" x14ac:dyDescent="0.7">
      <c r="F46" s="13" t="str">
        <f>IF(F45&gt;=$B$10,"",F45+1)</f>
        <v/>
      </c>
      <c r="G46" s="18" t="str">
        <f>IF(F46="","",G45*(1+$B$19))</f>
        <v/>
      </c>
      <c r="H46" s="18" t="str">
        <f t="shared" si="0"/>
        <v/>
      </c>
      <c r="I46" s="18" t="str">
        <f t="shared" si="1"/>
        <v/>
      </c>
      <c r="J46" s="18" t="str">
        <f>IF(F46="","",(J45-I46)*(1+$B$17))</f>
        <v/>
      </c>
      <c r="K46" s="18">
        <f t="shared" si="2"/>
        <v>0</v>
      </c>
    </row>
    <row r="47" spans="6:11" x14ac:dyDescent="0.7">
      <c r="F47" s="13" t="str">
        <f>IF(F46&gt;=$B$10,"",F46+1)</f>
        <v/>
      </c>
      <c r="G47" s="18" t="str">
        <f>IF(F47="","",G46*(1+$B$19))</f>
        <v/>
      </c>
      <c r="H47" s="18" t="str">
        <f t="shared" si="0"/>
        <v/>
      </c>
      <c r="I47" s="18" t="str">
        <f t="shared" si="1"/>
        <v/>
      </c>
      <c r="J47" s="18" t="str">
        <f>IF(F47="","",(J46-I47)*(1+$B$17))</f>
        <v/>
      </c>
      <c r="K47" s="18">
        <f t="shared" si="2"/>
        <v>0</v>
      </c>
    </row>
    <row r="48" spans="6:11" x14ac:dyDescent="0.7">
      <c r="F48" s="13" t="str">
        <f>IF(F47&gt;=$B$10,"",F47+1)</f>
        <v/>
      </c>
      <c r="G48" s="18" t="str">
        <f>IF(F48="","",G47*(1+$B$19))</f>
        <v/>
      </c>
      <c r="H48" s="18" t="str">
        <f t="shared" si="0"/>
        <v/>
      </c>
      <c r="I48" s="18" t="str">
        <f t="shared" si="1"/>
        <v/>
      </c>
      <c r="J48" s="18" t="str">
        <f>IF(F48="","",(J47-I48)*(1+$B$17))</f>
        <v/>
      </c>
      <c r="K48" s="18">
        <f t="shared" si="2"/>
        <v>0</v>
      </c>
    </row>
    <row r="49" spans="6:11" x14ac:dyDescent="0.7">
      <c r="F49" s="13" t="str">
        <f>IF(F48&gt;=$B$10,"",F48+1)</f>
        <v/>
      </c>
      <c r="G49" s="18" t="str">
        <f>IF(F49="","",G48*(1+$B$19))</f>
        <v/>
      </c>
      <c r="H49" s="18" t="str">
        <f t="shared" si="0"/>
        <v/>
      </c>
      <c r="I49" s="18" t="str">
        <f t="shared" si="1"/>
        <v/>
      </c>
      <c r="J49" s="18" t="str">
        <f>IF(F49="","",(J48-I49)*(1+$B$17))</f>
        <v/>
      </c>
      <c r="K49" s="18">
        <f t="shared" si="2"/>
        <v>0</v>
      </c>
    </row>
    <row r="50" spans="6:11" x14ac:dyDescent="0.7">
      <c r="F50" s="13" t="str">
        <f>IF(F49&gt;=$B$10,"",F49+1)</f>
        <v/>
      </c>
      <c r="G50" s="18" t="str">
        <f>IF(F50="","",G49*(1+$B$19))</f>
        <v/>
      </c>
      <c r="H50" s="18" t="str">
        <f t="shared" si="0"/>
        <v/>
      </c>
      <c r="I50" s="18" t="str">
        <f t="shared" si="1"/>
        <v/>
      </c>
      <c r="J50" s="18" t="str">
        <f>IF(F50="","",(J49-I50)*(1+$B$17))</f>
        <v/>
      </c>
      <c r="K50" s="18">
        <f t="shared" si="2"/>
        <v>0</v>
      </c>
    </row>
  </sheetData>
  <mergeCells count="3">
    <mergeCell ref="A1:C2"/>
    <mergeCell ref="A5:C6"/>
    <mergeCell ref="A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NPS vs UPS Freefincal.com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Pattabiraman M</dc:creator>
  <cp:lastModifiedBy>Pattabiraman M</cp:lastModifiedBy>
  <dcterms:created xsi:type="dcterms:W3CDTF">2024-08-25T16:15:57Z</dcterms:created>
  <dcterms:modified xsi:type="dcterms:W3CDTF">2024-08-25T23:43:53Z</dcterms:modified>
</cp:coreProperties>
</file>