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docs.live.net/13418e9942066649/freefincal-lenovo/"/>
    </mc:Choice>
  </mc:AlternateContent>
  <xr:revisionPtr revIDLastSave="356" documentId="8_{55268845-4541-4B3C-8BE5-D70C0A2B3896}" xr6:coauthVersionLast="47" xr6:coauthVersionMax="47" xr10:uidLastSave="{99B92197-3BF9-4FE3-8D8F-F6FB6CEACE7A}"/>
  <bookViews>
    <workbookView xWindow="-110" yWindow="-110" windowWidth="25820" windowHeight="13900" xr2:uid="{96698CC2-B2AA-4A03-AF48-DD2D0CDD1248}"/>
  </bookViews>
  <sheets>
    <sheet name="NPS vs UPS Freefincal.co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8" i="1" l="1"/>
  <c r="B27" i="1" l="1"/>
  <c r="H50" i="1" l="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G50" i="1"/>
  <c r="G49" i="1"/>
  <c r="G48" i="1"/>
  <c r="G47" i="1"/>
  <c r="G46" i="1"/>
  <c r="G45" i="1"/>
  <c r="G44" i="1"/>
  <c r="G43" i="1"/>
  <c r="G42" i="1"/>
  <c r="G41" i="1"/>
  <c r="G40" i="1"/>
  <c r="G39" i="1"/>
  <c r="G38" i="1"/>
  <c r="G37" i="1"/>
  <c r="G36" i="1"/>
  <c r="G35" i="1"/>
  <c r="G34" i="1"/>
  <c r="G33" i="1"/>
  <c r="G32" i="1"/>
  <c r="G6" i="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5" i="1"/>
  <c r="G4" i="1"/>
  <c r="G3" i="1"/>
  <c r="H2" i="1"/>
  <c r="G2" i="1"/>
  <c r="B22" i="1"/>
  <c r="B32" i="1"/>
  <c r="B24" i="1"/>
  <c r="F3" i="1"/>
  <c r="F4" i="1" s="1"/>
  <c r="F5" i="1" s="1"/>
  <c r="F6" i="1" s="1"/>
  <c r="F7" i="1" s="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K50" i="1" s="1"/>
  <c r="B25" i="1"/>
  <c r="K46" i="1" l="1"/>
  <c r="K47" i="1"/>
  <c r="K49" i="1"/>
  <c r="K32" i="1"/>
  <c r="K45" i="1"/>
  <c r="K33" i="1"/>
  <c r="K36" i="1"/>
  <c r="K44" i="1"/>
  <c r="K37" i="1"/>
  <c r="K38" i="1"/>
  <c r="K35" i="1"/>
  <c r="K39" i="1"/>
  <c r="K48" i="1"/>
  <c r="K34" i="1"/>
  <c r="K40" i="1"/>
  <c r="K41" i="1"/>
  <c r="K42" i="1"/>
  <c r="K43" i="1"/>
  <c r="B33" i="1"/>
  <c r="B26" i="1"/>
  <c r="B29" i="1" l="1"/>
  <c r="I2" i="1"/>
  <c r="I3" i="1" s="1"/>
  <c r="I4" i="1" s="1"/>
  <c r="I5" i="1" s="1"/>
  <c r="I6" i="1" s="1"/>
  <c r="I7" i="1" s="1"/>
  <c r="I8" i="1" s="1"/>
  <c r="I9" i="1" s="1"/>
  <c r="I10" i="1" l="1"/>
  <c r="J2" i="1"/>
  <c r="K2" i="1" s="1"/>
  <c r="J3" i="1" l="1"/>
  <c r="K3" i="1" s="1"/>
  <c r="I11" i="1"/>
  <c r="J4" i="1"/>
  <c r="K4" i="1" l="1"/>
  <c r="L4" i="1" s="1"/>
  <c r="J5" i="1"/>
  <c r="I12" i="1"/>
  <c r="L3" i="1"/>
  <c r="K5" i="1" l="1"/>
  <c r="I13" i="1"/>
  <c r="I14" i="1" l="1"/>
  <c r="I15" i="1" s="1"/>
  <c r="L5" i="1"/>
  <c r="J8" i="1" l="1"/>
  <c r="J9" i="1" l="1"/>
  <c r="I16" i="1"/>
  <c r="I17" i="1" s="1"/>
  <c r="J10" i="1" l="1"/>
  <c r="J11" i="1" l="1"/>
  <c r="I18" i="1"/>
  <c r="I19" i="1" s="1"/>
  <c r="J12" i="1" l="1"/>
  <c r="J13" i="1" l="1"/>
  <c r="I20" i="1"/>
  <c r="I21" i="1" s="1"/>
  <c r="J14" i="1" l="1"/>
  <c r="J15" i="1" l="1"/>
  <c r="I22" i="1"/>
  <c r="I23" i="1" s="1"/>
  <c r="J16" i="1" l="1"/>
  <c r="J17" i="1" l="1"/>
  <c r="I24" i="1"/>
  <c r="I25" i="1" s="1"/>
  <c r="J18" i="1" l="1"/>
  <c r="J19" i="1" l="1"/>
  <c r="I26" i="1"/>
  <c r="I27" i="1" s="1"/>
  <c r="J20" i="1" l="1"/>
  <c r="J21" i="1" l="1"/>
  <c r="I28" i="1"/>
  <c r="I29" i="1" s="1"/>
  <c r="J22" i="1" l="1"/>
  <c r="J23" i="1" l="1"/>
  <c r="I30" i="1"/>
  <c r="I31" i="1" s="1"/>
  <c r="J24" i="1" l="1"/>
  <c r="J25" i="1" l="1"/>
  <c r="I32" i="1"/>
  <c r="J26" i="1" l="1"/>
  <c r="J33" i="1"/>
  <c r="I33" i="1"/>
  <c r="J34" i="1" l="1"/>
  <c r="I34" i="1"/>
  <c r="J27" i="1"/>
  <c r="J28" i="1" l="1"/>
  <c r="J35" i="1"/>
  <c r="I35" i="1"/>
  <c r="L34" i="1"/>
  <c r="J36" i="1" l="1"/>
  <c r="I36" i="1"/>
  <c r="L35" i="1"/>
  <c r="J29" i="1"/>
  <c r="J30" i="1" l="1"/>
  <c r="I37" i="1"/>
  <c r="J37" i="1"/>
  <c r="L36" i="1"/>
  <c r="J38" i="1" l="1"/>
  <c r="I38" i="1"/>
  <c r="L37" i="1"/>
  <c r="J32" i="1"/>
  <c r="J31" i="1"/>
  <c r="J39" i="1" l="1"/>
  <c r="I39" i="1"/>
  <c r="L38" i="1"/>
  <c r="L33" i="1" l="1"/>
  <c r="I40" i="1"/>
  <c r="J40" i="1"/>
  <c r="L39" i="1"/>
  <c r="L41" i="1" l="1"/>
  <c r="I41" i="1"/>
  <c r="J41" i="1"/>
  <c r="L40" i="1"/>
  <c r="J42" i="1" l="1"/>
  <c r="I42" i="1"/>
  <c r="J43" i="1" l="1"/>
  <c r="I43" i="1"/>
  <c r="L42" i="1"/>
  <c r="I44" i="1" l="1"/>
  <c r="J44" i="1"/>
  <c r="L43" i="1"/>
  <c r="J45" i="1" l="1"/>
  <c r="I45" i="1"/>
  <c r="L44" i="1"/>
  <c r="J46" i="1" l="1"/>
  <c r="I46" i="1"/>
  <c r="L45" i="1"/>
  <c r="J47" i="1" l="1"/>
  <c r="I47" i="1"/>
  <c r="L46" i="1"/>
  <c r="J48" i="1" l="1"/>
  <c r="I48" i="1"/>
  <c r="L47" i="1"/>
  <c r="J49" i="1" l="1"/>
  <c r="I49" i="1"/>
  <c r="L48" i="1"/>
  <c r="L50" i="1" l="1"/>
  <c r="J50" i="1"/>
  <c r="I50" i="1"/>
  <c r="L49" i="1"/>
  <c r="J7" i="1" l="1"/>
  <c r="J6" i="1"/>
  <c r="K6" i="1"/>
  <c r="K7" i="1" s="1"/>
  <c r="L6" i="1" l="1"/>
  <c r="K8" i="1"/>
  <c r="L7" i="1"/>
  <c r="K9" i="1" l="1"/>
  <c r="L8" i="1"/>
  <c r="K10" i="1" l="1"/>
  <c r="L9" i="1"/>
  <c r="K11" i="1" l="1"/>
  <c r="L11" i="1"/>
  <c r="L10" i="1"/>
  <c r="K12" i="1" l="1"/>
  <c r="L12" i="1"/>
  <c r="K13" i="1" l="1"/>
  <c r="L13" i="1" s="1"/>
  <c r="K14" i="1" l="1"/>
  <c r="L14" i="1" s="1"/>
  <c r="K15" i="1" l="1"/>
  <c r="L15" i="1" s="1"/>
  <c r="K16" i="1" l="1"/>
  <c r="K17" i="1" l="1"/>
  <c r="L16" i="1"/>
  <c r="K18" i="1" l="1"/>
  <c r="L17" i="1"/>
  <c r="K19" i="1" l="1"/>
  <c r="L18" i="1"/>
  <c r="K20" i="1" l="1"/>
  <c r="L19" i="1"/>
  <c r="K21" i="1" l="1"/>
  <c r="L21" i="1"/>
  <c r="L20" i="1"/>
  <c r="K22" i="1" l="1"/>
  <c r="L22" i="1"/>
  <c r="K23" i="1" l="1"/>
  <c r="L23" i="1"/>
  <c r="K24" i="1" l="1"/>
  <c r="K25" i="1" l="1"/>
  <c r="L24" i="1"/>
  <c r="K26" i="1" l="1"/>
  <c r="L26" i="1"/>
  <c r="L25" i="1"/>
  <c r="K27" i="1" l="1"/>
  <c r="K28" i="1" l="1"/>
  <c r="L28" i="1"/>
  <c r="L27" i="1"/>
  <c r="K29" i="1" l="1"/>
  <c r="L29" i="1"/>
  <c r="K30" i="1" l="1"/>
  <c r="L30" i="1" s="1"/>
  <c r="K31" i="1" l="1"/>
  <c r="L32" i="1" s="1"/>
  <c r="L31" i="1" l="1"/>
  <c r="B30" i="1"/>
  <c r="B31" i="1" s="1"/>
</calcChain>
</file>

<file path=xl/sharedStrings.xml><?xml version="1.0" encoding="utf-8"?>
<sst xmlns="http://schemas.openxmlformats.org/spreadsheetml/2006/main" count="50" uniqueCount="48">
  <si>
    <t>Projected increase in basic pay</t>
  </si>
  <si>
    <t>Use a conservative number to account for pay commissions and promotions</t>
  </si>
  <si>
    <t>Expected growth in NPS contributions</t>
  </si>
  <si>
    <t>Current NPS Corpus</t>
  </si>
  <si>
    <t>Please be conservative</t>
  </si>
  <si>
    <t>Expected NPS corpus at retirement</t>
  </si>
  <si>
    <t>Expected basic pay at retirement</t>
  </si>
  <si>
    <t>NPS annuity rate at retirement</t>
  </si>
  <si>
    <t>Current Basic Pay (monthly)</t>
  </si>
  <si>
    <t>Remaining NPS Corpus</t>
  </si>
  <si>
    <t>NPS Corpus needed to match match UPS pension</t>
  </si>
  <si>
    <t>Expected increase in UPS pension after retirement</t>
  </si>
  <si>
    <t>How long you expect to live minus retirement age</t>
  </si>
  <si>
    <t>Year</t>
  </si>
  <si>
    <t>UPS Pension</t>
  </si>
  <si>
    <t>NPS Pension</t>
  </si>
  <si>
    <t>Balance</t>
  </si>
  <si>
    <t>NPS Year Balanace</t>
  </si>
  <si>
    <t>Is corpus negative</t>
  </si>
  <si>
    <t>Expected DA at retirement</t>
  </si>
  <si>
    <t>1/10th of monthly emoluments (pay + DA) as on the date of superannuation for every completed six months of              service. In addition, gratuity is also eligible (also eligible in NPS so need not be considered for comparison)</t>
  </si>
  <si>
    <t>Is the NPS corpus expected to be large enough to generate inflation-indexed pension like UPS?</t>
  </si>
  <si>
    <t>Please change only the green cells</t>
  </si>
  <si>
    <t>Current Service (years, no decimals)</t>
  </si>
  <si>
    <t>Years to retirement (years, no decimals)</t>
  </si>
  <si>
    <t>Expected years in retirement (years)</t>
  </si>
  <si>
    <t>Expected basic pay one year before retirement</t>
  </si>
  <si>
    <t>We shall assume this pension is the average of the two basic pays estimated in B15 and B16</t>
  </si>
  <si>
    <t>If the NPS can provide the same inflation-indexed pension as UPS, then there is no need to switch to UPS. If NPS shortfall is significant, you probably can consider switching to UPS. Either way invest as much as possible outside of NPS/UPS</t>
  </si>
  <si>
    <t>Current DA rate</t>
  </si>
  <si>
    <t>This assumes the DA rate increases in each year of future service by 5% from what it is today</t>
  </si>
  <si>
    <t>If this is less than your expected years in retirement, the remaining NPS corpus cannot provide inflation indexation via systematic withdrawals. If this is significantly lower than your expected years in retirement, UPS is better than NPS</t>
  </si>
  <si>
    <t>Please wait for the official UPS circular, understand the terms and conditions of the UPS well and then take a call</t>
  </si>
  <si>
    <r>
      <t>Caution and Disclaimer:</t>
    </r>
    <r>
      <rPr>
        <sz val="24"/>
        <color theme="1"/>
        <rFont val="Aptos Narrow"/>
        <family val="2"/>
        <scheme val="minor"/>
      </rPr>
      <t xml:space="preserve"> This calculator is based on the initial UPS press release and involves several projections. There maybe significant deviations between these numbers and real life values. </t>
    </r>
    <r>
      <rPr>
        <b/>
        <sz val="24"/>
        <color theme="1"/>
        <rFont val="Aptos Narrow"/>
        <family val="2"/>
        <scheme val="minor"/>
      </rPr>
      <t>This must be treated as a guesstimate. Use with discretion. This calculator may have bugs and errors in understanding. Please check all formulae to see if they make sense. For feedback and bug reports email: freefincal@gmail.com</t>
    </r>
  </si>
  <si>
    <r>
      <rPr>
        <b/>
        <sz val="24"/>
        <color theme="1"/>
        <rFont val="Aptos Narrow"/>
        <family val="2"/>
        <scheme val="minor"/>
      </rPr>
      <t>Underlying logic:</t>
    </r>
    <r>
      <rPr>
        <sz val="24"/>
        <color theme="1"/>
        <rFont val="Aptos Narrow"/>
        <family val="2"/>
        <scheme val="minor"/>
      </rPr>
      <t xml:space="preserve"> Can your future NPS corpus provide the same pension expected from UPS (with inflation indexation)? The NPS annuity provides part of this pension. Inflation indexation is provided via systematic withdrawals from the balance NPS corpus (if any!). If the answer is yes, then stay in NPS. If the answer is no, find out how much the shortfall is. For example, you expect to live 30 years after retirement, and NPS can provide an inflation-indexed pension for 29 years. The shortfall (1Y) is small. NPS and UPS are still comparable. If the shortfall is large (several years), then UPS is better than NPS</t>
    </r>
  </si>
  <si>
    <t>How long will the corpus last?</t>
  </si>
  <si>
    <t>Expected UPS lump sum at retirement. This relatively small amount is not used to decide between NPS and UPS.</t>
  </si>
  <si>
    <t>Expected rate of NPS return before retirement</t>
  </si>
  <si>
    <t>Expected rate of return from the balance NPS corpus after retirement</t>
  </si>
  <si>
    <t>After buying an annuity if you have any NPS corpus left (!) you can invest it and  periodically withdraw from it handle inflation</t>
  </si>
  <si>
    <t>Current total NPS contribution each month</t>
  </si>
  <si>
    <t>Use a conservative number to account for both DA hikes and basic pay hikes</t>
  </si>
  <si>
    <t>Expected hike in DA each year (approximately)</t>
  </si>
  <si>
    <t>Last ten year average of CPI yearly change</t>
  </si>
  <si>
    <t>Expected DA rate at retirement (relative to today)</t>
  </si>
  <si>
    <t>Da Rate</t>
  </si>
  <si>
    <t>UPS monthly pension including DA</t>
  </si>
  <si>
    <t>Basic pay (monthly) for  UPS pension at retirement (excluding 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</si>
</sst>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3" x14ac:knownFonts="1">
    <font>
      <sz val="24"/>
      <color theme="1"/>
      <name val="Aptos Narrow"/>
      <family val="2"/>
      <scheme val="minor"/>
    </font>
    <font>
      <sz val="24"/>
      <color theme="1"/>
      <name val="Aptos Narrow"/>
      <family val="2"/>
      <scheme val="minor"/>
    </font>
    <font>
      <b/>
      <sz val="24"/>
      <color theme="1"/>
      <name val="Aptos Narrow"/>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164" fontId="0" fillId="0" borderId="0" xfId="1" applyNumberFormat="1" applyFont="1"/>
    <xf numFmtId="0" fontId="0" fillId="0" borderId="1" xfId="0" applyBorder="1"/>
    <xf numFmtId="0" fontId="0" fillId="0" borderId="1" xfId="0" applyBorder="1" applyAlignment="1">
      <alignment vertical="center"/>
    </xf>
    <xf numFmtId="9" fontId="0" fillId="2" borderId="1" xfId="0" applyNumberFormat="1" applyFill="1" applyBorder="1" applyAlignment="1">
      <alignment horizontal="center" vertical="center"/>
    </xf>
    <xf numFmtId="0" fontId="0" fillId="0" borderId="1" xfId="0" applyBorder="1" applyAlignment="1">
      <alignment wrapText="1"/>
    </xf>
    <xf numFmtId="10" fontId="0" fillId="0" borderId="1" xfId="2" applyNumberFormat="1" applyFont="1" applyBorder="1"/>
    <xf numFmtId="43" fontId="0" fillId="0" borderId="1" xfId="0" applyNumberFormat="1" applyBorder="1"/>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2" fillId="0" borderId="0" xfId="0" applyFont="1"/>
    <xf numFmtId="0" fontId="0" fillId="3" borderId="1" xfId="0" applyFill="1" applyBorder="1"/>
    <xf numFmtId="0" fontId="0" fillId="2" borderId="1" xfId="0" applyFill="1" applyBorder="1" applyAlignment="1">
      <alignment horizontal="center" vertical="center"/>
    </xf>
    <xf numFmtId="164" fontId="0" fillId="0" borderId="1" xfId="1" applyNumberFormat="1" applyFont="1" applyBorder="1" applyAlignment="1">
      <alignment horizontal="center" vertical="center"/>
    </xf>
    <xf numFmtId="43" fontId="0" fillId="0" borderId="1" xfId="0" applyNumberFormat="1" applyBorder="1" applyAlignment="1">
      <alignment horizontal="center" vertical="center"/>
    </xf>
    <xf numFmtId="0" fontId="2" fillId="0" borderId="1" xfId="0" applyFont="1" applyBorder="1" applyAlignment="1">
      <alignment horizontal="center" vertical="center"/>
    </xf>
    <xf numFmtId="164" fontId="0" fillId="3" borderId="1" xfId="0" applyNumberFormat="1" applyFill="1" applyBorder="1"/>
    <xf numFmtId="0" fontId="2" fillId="0" borderId="1" xfId="0" applyFont="1" applyBorder="1"/>
    <xf numFmtId="0" fontId="0" fillId="0" borderId="5" xfId="0" applyBorder="1" applyAlignment="1">
      <alignment wrapText="1"/>
    </xf>
    <xf numFmtId="10" fontId="0" fillId="0" borderId="5" xfId="2" applyNumberFormat="1" applyFont="1" applyFill="1" applyBorder="1" applyAlignment="1">
      <alignment wrapText="1"/>
    </xf>
    <xf numFmtId="0" fontId="0" fillId="0" borderId="5" xfId="0" applyBorder="1"/>
    <xf numFmtId="9" fontId="0" fillId="0" borderId="0" xfId="2" applyFont="1" applyAlignment="1">
      <alignment horizontal="center" vertical="center"/>
    </xf>
    <xf numFmtId="9" fontId="0" fillId="3" borderId="1" xfId="0" applyNumberFormat="1" applyFill="1" applyBorder="1"/>
    <xf numFmtId="9" fontId="0" fillId="3" borderId="1" xfId="2" applyFont="1" applyFill="1" applyBorder="1"/>
    <xf numFmtId="43" fontId="0" fillId="0" borderId="0" xfId="0" applyNumberFormat="1"/>
    <xf numFmtId="0" fontId="2" fillId="0" borderId="1" xfId="0" applyFont="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1D63-DEAE-49B4-A507-9D8F9379E3D5}">
  <dimension ref="A1:L50"/>
  <sheetViews>
    <sheetView tabSelected="1" topLeftCell="A14" zoomScale="70" zoomScaleNormal="70" workbookViewId="0">
      <selection activeCell="B28" sqref="B28"/>
    </sheetView>
  </sheetViews>
  <sheetFormatPr defaultRowHeight="31" x14ac:dyDescent="0.7"/>
  <cols>
    <col min="1" max="1" width="42.83203125" bestFit="1" customWidth="1"/>
    <col min="2" max="2" width="13.58203125" bestFit="1" customWidth="1"/>
    <col min="3" max="3" width="50.0390625" customWidth="1"/>
    <col min="8" max="8" width="12.4140625" bestFit="1" customWidth="1"/>
    <col min="9" max="9" width="12.08203125" bestFit="1" customWidth="1"/>
    <col min="10" max="10" width="11.375" bestFit="1" customWidth="1"/>
    <col min="11" max="11" width="15.7890625" bestFit="1" customWidth="1"/>
    <col min="12" max="12" width="15.0390625" bestFit="1" customWidth="1"/>
  </cols>
  <sheetData>
    <row r="1" spans="1:12" ht="80" customHeight="1" x14ac:dyDescent="0.7">
      <c r="A1" s="27" t="s">
        <v>33</v>
      </c>
      <c r="B1" s="27"/>
      <c r="C1" s="27"/>
      <c r="F1" s="13" t="s">
        <v>13</v>
      </c>
      <c r="G1" s="13" t="s">
        <v>45</v>
      </c>
      <c r="H1" s="13" t="s">
        <v>14</v>
      </c>
      <c r="I1" s="13" t="s">
        <v>15</v>
      </c>
      <c r="J1" s="13" t="s">
        <v>16</v>
      </c>
      <c r="K1" s="13" t="s">
        <v>17</v>
      </c>
      <c r="L1" s="13" t="s">
        <v>18</v>
      </c>
    </row>
    <row r="2" spans="1:12" ht="63" customHeight="1" x14ac:dyDescent="0.7">
      <c r="A2" s="27"/>
      <c r="B2" s="27"/>
      <c r="C2" s="27"/>
      <c r="F2" s="13">
        <v>1</v>
      </c>
      <c r="G2" s="24">
        <f>B22</f>
        <v>1.25</v>
      </c>
      <c r="H2" s="18">
        <f>(B26*12)*(1+G2)</f>
        <v>1369865.1753621334</v>
      </c>
      <c r="I2" s="18">
        <f>H2</f>
        <v>1369865.1753621334</v>
      </c>
      <c r="J2" s="18">
        <f>H2-I2</f>
        <v>0</v>
      </c>
      <c r="K2" s="18">
        <f>IF(B29&gt;0,(B29-J2)*(1+$B$21),0)</f>
        <v>0</v>
      </c>
      <c r="L2" s="18">
        <v>0</v>
      </c>
    </row>
    <row r="3" spans="1:12" x14ac:dyDescent="0.7">
      <c r="A3" s="19" t="s">
        <v>32</v>
      </c>
      <c r="B3" s="2"/>
      <c r="C3" s="2"/>
      <c r="F3" s="13">
        <f t="shared" ref="F3:F50" si="0">IF(F2&gt;=$B$10,"",F2+1)</f>
        <v>2</v>
      </c>
      <c r="G3" s="25">
        <f>IF(F3="","",G2+$B$13)</f>
        <v>1.3</v>
      </c>
      <c r="H3" s="18">
        <f>IF(F3="","",($B$26*12)*(1+G3))</f>
        <v>1400306.623703514</v>
      </c>
      <c r="I3" s="18">
        <f>IF(F3="","",I2)</f>
        <v>1369865.1753621334</v>
      </c>
      <c r="J3" s="18">
        <f>IF(F3="","",H3-I3)</f>
        <v>30441.448341380572</v>
      </c>
      <c r="K3" s="18">
        <f t="shared" ref="K3:K50" si="1">IF(F3="","",(K2-J3)*(1+$B$21))</f>
        <v>-32572.349725277214</v>
      </c>
      <c r="L3" s="18">
        <f>IF(AND(K2&gt;0,K3&lt;=0),F3,0)</f>
        <v>0</v>
      </c>
    </row>
    <row r="4" spans="1:12" x14ac:dyDescent="0.7">
      <c r="A4" s="29"/>
      <c r="B4" s="30"/>
      <c r="C4" s="31"/>
      <c r="F4" s="13">
        <f t="shared" si="0"/>
        <v>3</v>
      </c>
      <c r="G4" s="25">
        <f>IF(F4="","",G3+$B$13)</f>
        <v>1.35</v>
      </c>
      <c r="H4" s="18">
        <f t="shared" ref="H4:H50" si="2">IF(F4="","",($B$26*12)*(1+G4))</f>
        <v>1430748.0720448948</v>
      </c>
      <c r="I4" s="18">
        <f t="shared" ref="I4:I50" si="3">IF(F4="","",I3)</f>
        <v>1369865.1753621334</v>
      </c>
      <c r="J4" s="18">
        <f t="shared" ref="J4:J50" si="4">IF(F4="","",H4-I4)</f>
        <v>60882.896682761377</v>
      </c>
      <c r="K4" s="18">
        <f t="shared" si="1"/>
        <v>-99997.113656601301</v>
      </c>
      <c r="L4" s="18">
        <f t="shared" ref="L4:L50" si="5">IF(AND(K3&gt;0,K4&lt;=0),F4,0)</f>
        <v>0</v>
      </c>
    </row>
    <row r="5" spans="1:12" ht="71" customHeight="1" x14ac:dyDescent="0.7">
      <c r="A5" s="28" t="s">
        <v>34</v>
      </c>
      <c r="B5" s="28"/>
      <c r="C5" s="28"/>
      <c r="F5" s="13">
        <f t="shared" si="0"/>
        <v>4</v>
      </c>
      <c r="G5" s="25">
        <f t="shared" ref="G5:G50" si="6">IF(F5="","",G4+$B$13)</f>
        <v>1.4000000000000001</v>
      </c>
      <c r="H5" s="18">
        <f t="shared" si="2"/>
        <v>1461189.5203862758</v>
      </c>
      <c r="I5" s="18">
        <f t="shared" si="3"/>
        <v>1369865.1753621334</v>
      </c>
      <c r="J5" s="18">
        <f t="shared" si="4"/>
        <v>91324.345024142414</v>
      </c>
      <c r="K5" s="18">
        <f t="shared" si="1"/>
        <v>-204713.96078839578</v>
      </c>
      <c r="L5" s="18">
        <f t="shared" si="5"/>
        <v>0</v>
      </c>
    </row>
    <row r="6" spans="1:12" ht="79" customHeight="1" x14ac:dyDescent="0.7">
      <c r="A6" s="28"/>
      <c r="B6" s="28"/>
      <c r="C6" s="28"/>
      <c r="F6" s="13">
        <f t="shared" si="0"/>
        <v>5</v>
      </c>
      <c r="G6" s="25">
        <f t="shared" si="6"/>
        <v>1.4500000000000002</v>
      </c>
      <c r="H6" s="18">
        <f t="shared" si="2"/>
        <v>1491630.9687276564</v>
      </c>
      <c r="I6" s="18">
        <f t="shared" si="3"/>
        <v>1369865.1753621334</v>
      </c>
      <c r="J6" s="18">
        <f t="shared" si="4"/>
        <v>121765.79336552299</v>
      </c>
      <c r="K6" s="18">
        <f t="shared" si="1"/>
        <v>-349333.33694469312</v>
      </c>
      <c r="L6" s="18">
        <f t="shared" si="5"/>
        <v>0</v>
      </c>
    </row>
    <row r="7" spans="1:12" x14ac:dyDescent="0.7">
      <c r="A7" s="12" t="s">
        <v>22</v>
      </c>
      <c r="F7" s="13">
        <f t="shared" si="0"/>
        <v>6</v>
      </c>
      <c r="G7" s="25">
        <f t="shared" si="6"/>
        <v>1.5000000000000002</v>
      </c>
      <c r="H7" s="18">
        <f t="shared" si="2"/>
        <v>1522072.417069037</v>
      </c>
      <c r="I7" s="18">
        <f t="shared" si="3"/>
        <v>1369865.1753621334</v>
      </c>
      <c r="J7" s="18">
        <f t="shared" si="4"/>
        <v>152207.24170690356</v>
      </c>
      <c r="K7" s="18">
        <f t="shared" si="1"/>
        <v>-536648.41915720853</v>
      </c>
      <c r="L7" s="18">
        <f t="shared" si="5"/>
        <v>0</v>
      </c>
    </row>
    <row r="8" spans="1:12" x14ac:dyDescent="0.7">
      <c r="A8" s="2" t="s">
        <v>23</v>
      </c>
      <c r="B8" s="14">
        <v>15</v>
      </c>
      <c r="C8" s="2"/>
      <c r="F8" s="13">
        <f t="shared" si="0"/>
        <v>7</v>
      </c>
      <c r="G8" s="25">
        <f t="shared" si="6"/>
        <v>1.5500000000000003</v>
      </c>
      <c r="H8" s="18">
        <f t="shared" si="2"/>
        <v>1552513.865410418</v>
      </c>
      <c r="I8" s="18">
        <f t="shared" si="3"/>
        <v>1369865.1753621334</v>
      </c>
      <c r="J8" s="18">
        <f t="shared" si="4"/>
        <v>182648.6900482846</v>
      </c>
      <c r="K8" s="18">
        <f t="shared" si="1"/>
        <v>-769647.90684987768</v>
      </c>
      <c r="L8" s="18">
        <f t="shared" si="5"/>
        <v>0</v>
      </c>
    </row>
    <row r="9" spans="1:12" x14ac:dyDescent="0.7">
      <c r="A9" s="2" t="s">
        <v>24</v>
      </c>
      <c r="B9" s="14">
        <v>15</v>
      </c>
      <c r="C9" s="2"/>
      <c r="F9" s="13">
        <f t="shared" si="0"/>
        <v>8</v>
      </c>
      <c r="G9" s="25">
        <f t="shared" si="6"/>
        <v>1.6000000000000003</v>
      </c>
      <c r="H9" s="18">
        <f t="shared" si="2"/>
        <v>1582955.3137517988</v>
      </c>
      <c r="I9" s="18">
        <f t="shared" si="3"/>
        <v>1369865.1753621334</v>
      </c>
      <c r="J9" s="18">
        <f t="shared" si="4"/>
        <v>213090.1383896654</v>
      </c>
      <c r="K9" s="18">
        <f t="shared" si="1"/>
        <v>-1051529.7084063112</v>
      </c>
      <c r="L9" s="18">
        <f t="shared" si="5"/>
        <v>0</v>
      </c>
    </row>
    <row r="10" spans="1:12" x14ac:dyDescent="0.7">
      <c r="A10" s="5" t="s">
        <v>25</v>
      </c>
      <c r="B10" s="14">
        <v>30</v>
      </c>
      <c r="C10" s="2" t="s">
        <v>12</v>
      </c>
      <c r="F10" s="13">
        <f t="shared" si="0"/>
        <v>9</v>
      </c>
      <c r="G10" s="25">
        <f t="shared" si="6"/>
        <v>1.6500000000000004</v>
      </c>
      <c r="H10" s="18">
        <f t="shared" si="2"/>
        <v>1613396.7620931794</v>
      </c>
      <c r="I10" s="18">
        <f t="shared" si="3"/>
        <v>1369865.1753621334</v>
      </c>
      <c r="J10" s="18">
        <f t="shared" si="4"/>
        <v>243531.58673104597</v>
      </c>
      <c r="K10" s="18">
        <f t="shared" si="1"/>
        <v>-1385715.5857969723</v>
      </c>
      <c r="L10" s="18">
        <f t="shared" si="5"/>
        <v>0</v>
      </c>
    </row>
    <row r="11" spans="1:12" x14ac:dyDescent="0.7">
      <c r="A11" s="2" t="s">
        <v>8</v>
      </c>
      <c r="B11" s="14">
        <v>50000</v>
      </c>
      <c r="C11" s="2"/>
      <c r="F11" s="13">
        <f t="shared" si="0"/>
        <v>10</v>
      </c>
      <c r="G11" s="25">
        <f t="shared" si="6"/>
        <v>1.7000000000000004</v>
      </c>
      <c r="H11" s="18">
        <f t="shared" si="2"/>
        <v>1643838.2104345602</v>
      </c>
      <c r="I11" s="18">
        <f t="shared" si="3"/>
        <v>1369865.1753621334</v>
      </c>
      <c r="J11" s="18">
        <f t="shared" si="4"/>
        <v>273973.03507242678</v>
      </c>
      <c r="K11" s="18">
        <f t="shared" si="1"/>
        <v>-1775866.824330257</v>
      </c>
      <c r="L11" s="18">
        <f t="shared" si="5"/>
        <v>0</v>
      </c>
    </row>
    <row r="12" spans="1:12" x14ac:dyDescent="0.7">
      <c r="A12" s="2" t="s">
        <v>29</v>
      </c>
      <c r="B12" s="4">
        <v>0.5</v>
      </c>
      <c r="C12" s="2"/>
      <c r="F12" s="13">
        <f t="shared" si="0"/>
        <v>11</v>
      </c>
      <c r="G12" s="25">
        <f t="shared" si="6"/>
        <v>1.7500000000000004</v>
      </c>
      <c r="H12" s="18">
        <f t="shared" si="2"/>
        <v>1674279.658775941</v>
      </c>
      <c r="I12" s="18">
        <f t="shared" si="3"/>
        <v>1369865.1753621334</v>
      </c>
      <c r="J12" s="18">
        <f t="shared" si="4"/>
        <v>304414.48341380758</v>
      </c>
      <c r="K12" s="18">
        <f t="shared" si="1"/>
        <v>-2225900.9992861492</v>
      </c>
      <c r="L12" s="18">
        <f t="shared" si="5"/>
        <v>0</v>
      </c>
    </row>
    <row r="13" spans="1:12" x14ac:dyDescent="0.7">
      <c r="A13" s="22" t="s">
        <v>42</v>
      </c>
      <c r="B13" s="4">
        <v>0.05</v>
      </c>
      <c r="C13" t="s">
        <v>43</v>
      </c>
      <c r="F13" s="13">
        <f t="shared" si="0"/>
        <v>12</v>
      </c>
      <c r="G13" s="25">
        <f t="shared" si="6"/>
        <v>1.8000000000000005</v>
      </c>
      <c r="H13" s="18">
        <f t="shared" si="2"/>
        <v>1704721.1071173218</v>
      </c>
      <c r="I13" s="18">
        <f t="shared" si="3"/>
        <v>1369865.1753621334</v>
      </c>
      <c r="J13" s="18">
        <f t="shared" si="4"/>
        <v>334855.93175518839</v>
      </c>
      <c r="K13" s="18">
        <f t="shared" si="1"/>
        <v>-2740009.9162142314</v>
      </c>
      <c r="L13" s="18">
        <f t="shared" si="5"/>
        <v>0</v>
      </c>
    </row>
    <row r="14" spans="1:12" ht="62" x14ac:dyDescent="0.7">
      <c r="A14" s="3" t="s">
        <v>0</v>
      </c>
      <c r="B14" s="4">
        <v>0.05</v>
      </c>
      <c r="C14" s="5" t="s">
        <v>1</v>
      </c>
      <c r="F14" s="13">
        <f t="shared" si="0"/>
        <v>13</v>
      </c>
      <c r="G14" s="25">
        <f t="shared" si="6"/>
        <v>1.8500000000000005</v>
      </c>
      <c r="H14" s="18">
        <f t="shared" si="2"/>
        <v>1735162.5554587026</v>
      </c>
      <c r="I14" s="18">
        <f t="shared" si="3"/>
        <v>1369865.1753621334</v>
      </c>
      <c r="J14" s="18">
        <f t="shared" si="4"/>
        <v>365297.38009656919</v>
      </c>
      <c r="K14" s="18">
        <f t="shared" si="1"/>
        <v>-3322678.8070525569</v>
      </c>
      <c r="L14" s="18">
        <f t="shared" si="5"/>
        <v>0</v>
      </c>
    </row>
    <row r="15" spans="1:12" x14ac:dyDescent="0.7">
      <c r="A15" s="2" t="s">
        <v>40</v>
      </c>
      <c r="B15" s="14">
        <v>18000</v>
      </c>
      <c r="C15" s="2"/>
      <c r="F15" s="13">
        <f t="shared" si="0"/>
        <v>14</v>
      </c>
      <c r="G15" s="25">
        <f t="shared" si="6"/>
        <v>1.9000000000000006</v>
      </c>
      <c r="H15" s="18">
        <f t="shared" si="2"/>
        <v>1765604.0038000832</v>
      </c>
      <c r="I15" s="18">
        <f t="shared" si="3"/>
        <v>1369865.1753621334</v>
      </c>
      <c r="J15" s="18">
        <f t="shared" si="4"/>
        <v>395738.82843794976</v>
      </c>
      <c r="K15" s="18">
        <f t="shared" si="1"/>
        <v>-3978706.8699748428</v>
      </c>
      <c r="L15" s="18">
        <f t="shared" si="5"/>
        <v>0</v>
      </c>
    </row>
    <row r="16" spans="1:12" ht="62" x14ac:dyDescent="0.7">
      <c r="A16" s="2" t="s">
        <v>2</v>
      </c>
      <c r="B16" s="4">
        <v>0.05</v>
      </c>
      <c r="C16" s="5" t="s">
        <v>41</v>
      </c>
      <c r="F16" s="13">
        <f t="shared" si="0"/>
        <v>15</v>
      </c>
      <c r="G16" s="25">
        <f t="shared" si="6"/>
        <v>1.9500000000000006</v>
      </c>
      <c r="H16" s="18">
        <f t="shared" si="2"/>
        <v>1796045.452141464</v>
      </c>
      <c r="I16" s="18">
        <f t="shared" si="3"/>
        <v>1369865.1753621334</v>
      </c>
      <c r="J16" s="18">
        <f t="shared" si="4"/>
        <v>426180.27677933057</v>
      </c>
      <c r="K16" s="18">
        <f t="shared" si="1"/>
        <v>-4713229.247026966</v>
      </c>
      <c r="L16" s="18">
        <f t="shared" si="5"/>
        <v>0</v>
      </c>
    </row>
    <row r="17" spans="1:12" x14ac:dyDescent="0.7">
      <c r="A17" s="2" t="s">
        <v>3</v>
      </c>
      <c r="B17" s="14">
        <v>4000000</v>
      </c>
      <c r="C17" s="2"/>
      <c r="F17" s="13">
        <f t="shared" si="0"/>
        <v>16</v>
      </c>
      <c r="G17" s="25">
        <f t="shared" si="6"/>
        <v>2.0000000000000004</v>
      </c>
      <c r="H17" s="18">
        <f t="shared" si="2"/>
        <v>1826486.9004828448</v>
      </c>
      <c r="I17" s="18">
        <f t="shared" si="3"/>
        <v>1369865.1753621334</v>
      </c>
      <c r="J17" s="18">
        <f t="shared" si="4"/>
        <v>456621.72512071137</v>
      </c>
      <c r="K17" s="18">
        <f t="shared" si="1"/>
        <v>-5531740.540198015</v>
      </c>
      <c r="L17" s="18">
        <f t="shared" si="5"/>
        <v>0</v>
      </c>
    </row>
    <row r="18" spans="1:12" x14ac:dyDescent="0.7">
      <c r="A18" s="2" t="s">
        <v>37</v>
      </c>
      <c r="B18" s="4">
        <v>0.08</v>
      </c>
      <c r="C18" s="6" t="s">
        <v>4</v>
      </c>
      <c r="F18" s="13">
        <f t="shared" si="0"/>
        <v>17</v>
      </c>
      <c r="G18" s="25">
        <f t="shared" si="6"/>
        <v>2.0500000000000003</v>
      </c>
      <c r="H18" s="18">
        <f t="shared" si="2"/>
        <v>1856928.3488242254</v>
      </c>
      <c r="I18" s="18">
        <f t="shared" si="3"/>
        <v>1369865.1753621334</v>
      </c>
      <c r="J18" s="18">
        <f t="shared" si="4"/>
        <v>487063.17346209195</v>
      </c>
      <c r="K18" s="18">
        <f t="shared" si="1"/>
        <v>-6440119.9736163151</v>
      </c>
      <c r="L18" s="18">
        <f t="shared" si="5"/>
        <v>0</v>
      </c>
    </row>
    <row r="19" spans="1:12" x14ac:dyDescent="0.7">
      <c r="A19" s="2" t="s">
        <v>7</v>
      </c>
      <c r="B19" s="4">
        <v>0.06</v>
      </c>
      <c r="C19" s="6" t="s">
        <v>4</v>
      </c>
      <c r="F19" s="13">
        <f t="shared" si="0"/>
        <v>18</v>
      </c>
      <c r="G19" s="25">
        <f t="shared" si="6"/>
        <v>2.1</v>
      </c>
      <c r="H19" s="18">
        <f t="shared" si="2"/>
        <v>1887369.7971656059</v>
      </c>
      <c r="I19" s="18">
        <f t="shared" si="3"/>
        <v>1369865.1753621334</v>
      </c>
      <c r="J19" s="18">
        <f t="shared" si="4"/>
        <v>517504.62180347252</v>
      </c>
      <c r="K19" s="18">
        <f t="shared" si="1"/>
        <v>-7444658.3170991736</v>
      </c>
      <c r="L19" s="18">
        <f t="shared" si="5"/>
        <v>0</v>
      </c>
    </row>
    <row r="20" spans="1:12" x14ac:dyDescent="0.7">
      <c r="A20" s="2" t="s">
        <v>11</v>
      </c>
      <c r="B20" s="4">
        <v>0.05</v>
      </c>
      <c r="C20" s="6" t="s">
        <v>4</v>
      </c>
      <c r="F20" s="13">
        <f t="shared" si="0"/>
        <v>19</v>
      </c>
      <c r="G20" s="25">
        <f t="shared" si="6"/>
        <v>2.15</v>
      </c>
      <c r="H20" s="18">
        <f t="shared" si="2"/>
        <v>1917811.2455069865</v>
      </c>
      <c r="I20" s="18">
        <f t="shared" si="3"/>
        <v>1369865.1753621334</v>
      </c>
      <c r="J20" s="18">
        <f t="shared" si="4"/>
        <v>547946.07014485309</v>
      </c>
      <c r="K20" s="18">
        <f t="shared" si="1"/>
        <v>-8552086.6943511087</v>
      </c>
      <c r="L20" s="18">
        <f t="shared" si="5"/>
        <v>0</v>
      </c>
    </row>
    <row r="21" spans="1:12" ht="62" x14ac:dyDescent="0.7">
      <c r="A21" s="20" t="s">
        <v>38</v>
      </c>
      <c r="B21" s="4">
        <v>7.0000000000000007E-2</v>
      </c>
      <c r="C21" s="21" t="s">
        <v>39</v>
      </c>
      <c r="F21" s="13">
        <f t="shared" si="0"/>
        <v>20</v>
      </c>
      <c r="G21" s="25">
        <f t="shared" si="6"/>
        <v>2.1999999999999997</v>
      </c>
      <c r="H21" s="18">
        <f t="shared" si="2"/>
        <v>1948252.6938483673</v>
      </c>
      <c r="I21" s="18">
        <f t="shared" si="3"/>
        <v>1369865.1753621334</v>
      </c>
      <c r="J21" s="18">
        <f t="shared" si="4"/>
        <v>578387.51848623389</v>
      </c>
      <c r="K21" s="18">
        <f t="shared" si="1"/>
        <v>-9769607.4077359568</v>
      </c>
      <c r="L21" s="18">
        <f t="shared" si="5"/>
        <v>0</v>
      </c>
    </row>
    <row r="22" spans="1:12" x14ac:dyDescent="0.7">
      <c r="A22" s="22" t="s">
        <v>44</v>
      </c>
      <c r="B22" s="23">
        <f>(B12+(B13*B9))</f>
        <v>1.25</v>
      </c>
      <c r="F22" s="13">
        <f t="shared" si="0"/>
        <v>21</v>
      </c>
      <c r="G22" s="25">
        <f t="shared" si="6"/>
        <v>2.2499999999999996</v>
      </c>
      <c r="H22" s="18">
        <f t="shared" si="2"/>
        <v>1978694.1421897479</v>
      </c>
      <c r="I22" s="18">
        <f t="shared" si="3"/>
        <v>1369865.1753621334</v>
      </c>
      <c r="J22" s="18">
        <f t="shared" si="4"/>
        <v>608828.96682761447</v>
      </c>
      <c r="K22" s="18">
        <f t="shared" si="1"/>
        <v>-11104926.920783022</v>
      </c>
      <c r="L22" s="18">
        <f t="shared" si="5"/>
        <v>0</v>
      </c>
    </row>
    <row r="23" spans="1:12" x14ac:dyDescent="0.7">
      <c r="A23" s="2" t="s">
        <v>5</v>
      </c>
      <c r="B23" s="15">
        <f>(B17*(1+B18)^B9)+(12*B15*((1+B18)^B9-(1+B16+0.00001%)^B9)/(B18-B16+0.00001%))</f>
        <v>20559963.566359542</v>
      </c>
      <c r="C23" s="2"/>
      <c r="F23" s="13">
        <f t="shared" si="0"/>
        <v>22</v>
      </c>
      <c r="G23" s="25">
        <f t="shared" si="6"/>
        <v>2.2999999999999994</v>
      </c>
      <c r="H23" s="18">
        <f t="shared" si="2"/>
        <v>2009135.5905311285</v>
      </c>
      <c r="I23" s="18">
        <f t="shared" si="3"/>
        <v>1369865.1753621334</v>
      </c>
      <c r="J23" s="18">
        <f t="shared" si="4"/>
        <v>639270.41516899504</v>
      </c>
      <c r="K23" s="18">
        <f t="shared" si="1"/>
        <v>-12566291.149468658</v>
      </c>
      <c r="L23" s="18">
        <f t="shared" si="5"/>
        <v>0</v>
      </c>
    </row>
    <row r="24" spans="1:12" x14ac:dyDescent="0.7">
      <c r="A24" s="2" t="s">
        <v>26</v>
      </c>
      <c r="B24" s="1">
        <f>B11*(1+B14)^(B9-1)</f>
        <v>98996.57997196987</v>
      </c>
      <c r="F24" s="13">
        <f t="shared" si="0"/>
        <v>23</v>
      </c>
      <c r="G24" s="25">
        <f t="shared" si="6"/>
        <v>2.3499999999999992</v>
      </c>
      <c r="H24" s="18">
        <f t="shared" si="2"/>
        <v>2039577.038872509</v>
      </c>
      <c r="I24" s="18">
        <f t="shared" si="3"/>
        <v>1369865.1753621334</v>
      </c>
      <c r="J24" s="18">
        <f t="shared" si="4"/>
        <v>669711.86351037561</v>
      </c>
      <c r="K24" s="18">
        <f t="shared" si="1"/>
        <v>-14162523.223887568</v>
      </c>
      <c r="L24" s="18">
        <f t="shared" si="5"/>
        <v>0</v>
      </c>
    </row>
    <row r="25" spans="1:12" x14ac:dyDescent="0.7">
      <c r="A25" s="2" t="s">
        <v>6</v>
      </c>
      <c r="B25" s="15">
        <f>B11*(1+B14)^B9</f>
        <v>103946.40897056839</v>
      </c>
      <c r="C25" s="2"/>
      <c r="F25" s="13">
        <f t="shared" si="0"/>
        <v>24</v>
      </c>
      <c r="G25" s="25">
        <f t="shared" si="6"/>
        <v>2.399999999999999</v>
      </c>
      <c r="H25" s="18">
        <f t="shared" si="2"/>
        <v>2070018.4872138898</v>
      </c>
      <c r="I25" s="18">
        <f t="shared" si="3"/>
        <v>1369865.1753621334</v>
      </c>
      <c r="J25" s="18">
        <f t="shared" si="4"/>
        <v>700153.31185175641</v>
      </c>
      <c r="K25" s="18">
        <f t="shared" si="1"/>
        <v>-15903063.89324108</v>
      </c>
      <c r="L25" s="18">
        <f t="shared" si="5"/>
        <v>0</v>
      </c>
    </row>
    <row r="26" spans="1:12" ht="62" x14ac:dyDescent="0.7">
      <c r="A26" s="5" t="s">
        <v>47</v>
      </c>
      <c r="B26" s="16">
        <f>IF((B8+B9)&gt;=25,0.5,0.5*(B8+B9)/25)*(B25+B24)/2</f>
        <v>50735.747235634568</v>
      </c>
      <c r="C26" s="5" t="s">
        <v>27</v>
      </c>
      <c r="F26" s="13">
        <f t="shared" si="0"/>
        <v>25</v>
      </c>
      <c r="G26" s="25">
        <f t="shared" si="6"/>
        <v>2.4499999999999988</v>
      </c>
      <c r="H26" s="18">
        <f t="shared" si="2"/>
        <v>2100459.9355552704</v>
      </c>
      <c r="I26" s="18">
        <f t="shared" si="3"/>
        <v>1369865.1753621334</v>
      </c>
      <c r="J26" s="18">
        <f t="shared" si="4"/>
        <v>730594.76019313699</v>
      </c>
      <c r="K26" s="18">
        <f t="shared" si="1"/>
        <v>-17798014.759174611</v>
      </c>
      <c r="L26" s="18">
        <f t="shared" si="5"/>
        <v>0</v>
      </c>
    </row>
    <row r="27" spans="1:12" x14ac:dyDescent="0.7">
      <c r="A27" s="22" t="s">
        <v>46</v>
      </c>
      <c r="B27" s="26">
        <f>B26*(1+B22)</f>
        <v>114155.43128017779</v>
      </c>
      <c r="C27" s="26"/>
      <c r="F27" s="13">
        <f t="shared" si="0"/>
        <v>26</v>
      </c>
      <c r="G27" s="25">
        <f t="shared" si="6"/>
        <v>2.4999999999999987</v>
      </c>
      <c r="H27" s="18">
        <f t="shared" si="2"/>
        <v>2130901.3838966512</v>
      </c>
      <c r="I27" s="18">
        <f t="shared" si="3"/>
        <v>1369865.1753621334</v>
      </c>
      <c r="J27" s="18">
        <f t="shared" si="4"/>
        <v>761036.20853451779</v>
      </c>
      <c r="K27" s="18">
        <f t="shared" si="1"/>
        <v>-19858184.535448767</v>
      </c>
      <c r="L27" s="18">
        <f t="shared" si="5"/>
        <v>0</v>
      </c>
    </row>
    <row r="28" spans="1:12" x14ac:dyDescent="0.7">
      <c r="A28" s="2" t="s">
        <v>10</v>
      </c>
      <c r="B28" s="11">
        <f>12*B27/B19</f>
        <v>22831086.256035559</v>
      </c>
      <c r="C28" s="7"/>
      <c r="F28" s="13">
        <f t="shared" si="0"/>
        <v>27</v>
      </c>
      <c r="G28" s="25">
        <f t="shared" si="6"/>
        <v>2.5499999999999985</v>
      </c>
      <c r="H28" s="18">
        <f t="shared" si="2"/>
        <v>2161342.8322380316</v>
      </c>
      <c r="I28" s="18">
        <f t="shared" si="3"/>
        <v>1369865.1753621334</v>
      </c>
      <c r="J28" s="18">
        <f t="shared" si="4"/>
        <v>791477.65687589813</v>
      </c>
      <c r="K28" s="18">
        <f t="shared" si="1"/>
        <v>-22095138.545787394</v>
      </c>
      <c r="L28" s="18">
        <f t="shared" si="5"/>
        <v>0</v>
      </c>
    </row>
    <row r="29" spans="1:12" x14ac:dyDescent="0.7">
      <c r="A29" s="2" t="s">
        <v>9</v>
      </c>
      <c r="B29" s="16">
        <f>B23-B28</f>
        <v>-2271122.6896760166</v>
      </c>
      <c r="C29" s="2"/>
      <c r="F29" s="13">
        <f t="shared" si="0"/>
        <v>28</v>
      </c>
      <c r="G29" s="25">
        <f t="shared" si="6"/>
        <v>2.5999999999999983</v>
      </c>
      <c r="H29" s="18">
        <f t="shared" si="2"/>
        <v>2191784.2805794124</v>
      </c>
      <c r="I29" s="18">
        <f t="shared" si="3"/>
        <v>1369865.1753621334</v>
      </c>
      <c r="J29" s="18">
        <f t="shared" si="4"/>
        <v>821919.10521727894</v>
      </c>
      <c r="K29" s="18">
        <f t="shared" si="1"/>
        <v>-24521251.686574999</v>
      </c>
      <c r="L29" s="18">
        <f t="shared" si="5"/>
        <v>0</v>
      </c>
    </row>
    <row r="30" spans="1:12" ht="124" x14ac:dyDescent="0.7">
      <c r="A30" s="9" t="s">
        <v>35</v>
      </c>
      <c r="B30" s="9">
        <f>IF(B29&lt;0,0,IF(SUM(L2:L50)=0,B10,SUM(L2:L50)))</f>
        <v>0</v>
      </c>
      <c r="C30" s="5" t="s">
        <v>31</v>
      </c>
      <c r="F30" s="13">
        <f t="shared" si="0"/>
        <v>29</v>
      </c>
      <c r="G30" s="25">
        <f t="shared" si="6"/>
        <v>2.6499999999999981</v>
      </c>
      <c r="H30" s="18">
        <f t="shared" si="2"/>
        <v>2222225.7289207932</v>
      </c>
      <c r="I30" s="18">
        <f t="shared" si="3"/>
        <v>1369865.1753621334</v>
      </c>
      <c r="J30" s="18">
        <f t="shared" si="4"/>
        <v>852360.55355865974</v>
      </c>
      <c r="K30" s="18">
        <f t="shared" si="1"/>
        <v>-27149765.096943017</v>
      </c>
      <c r="L30" s="18">
        <f t="shared" si="5"/>
        <v>0</v>
      </c>
    </row>
    <row r="31" spans="1:12" ht="124" x14ac:dyDescent="0.7">
      <c r="A31" s="8" t="s">
        <v>21</v>
      </c>
      <c r="B31" s="17" t="str">
        <f>IF(B29&lt;0,"No",IF(B30&lt;B10,"No","Yes"))</f>
        <v>No</v>
      </c>
      <c r="C31" s="5" t="s">
        <v>28</v>
      </c>
      <c r="F31" s="13">
        <f t="shared" si="0"/>
        <v>30</v>
      </c>
      <c r="G31" s="25">
        <f t="shared" si="6"/>
        <v>2.699999999999998</v>
      </c>
      <c r="H31" s="18">
        <f t="shared" si="2"/>
        <v>2252667.1772621735</v>
      </c>
      <c r="I31" s="18">
        <f t="shared" si="3"/>
        <v>1369865.1753621334</v>
      </c>
      <c r="J31" s="18">
        <f t="shared" si="4"/>
        <v>882802.00190004008</v>
      </c>
      <c r="K31" s="18">
        <f t="shared" si="1"/>
        <v>-29994846.795762073</v>
      </c>
      <c r="L31" s="18">
        <f t="shared" si="5"/>
        <v>0</v>
      </c>
    </row>
    <row r="32" spans="1:12" ht="62" x14ac:dyDescent="0.7">
      <c r="A32" s="2" t="s">
        <v>19</v>
      </c>
      <c r="B32" s="15">
        <f>(B12+(B13*B9))*B24</f>
        <v>123745.72496496234</v>
      </c>
      <c r="C32" s="5" t="s">
        <v>30</v>
      </c>
      <c r="F32" s="13" t="str">
        <f t="shared" si="0"/>
        <v/>
      </c>
      <c r="G32" s="25" t="str">
        <f t="shared" si="6"/>
        <v/>
      </c>
      <c r="H32" s="18" t="str">
        <f t="shared" si="2"/>
        <v/>
      </c>
      <c r="I32" s="18" t="str">
        <f t="shared" si="3"/>
        <v/>
      </c>
      <c r="J32" s="18" t="str">
        <f t="shared" si="4"/>
        <v/>
      </c>
      <c r="K32" s="18" t="str">
        <f t="shared" si="1"/>
        <v/>
      </c>
      <c r="L32" s="18">
        <f t="shared" si="5"/>
        <v>0</v>
      </c>
    </row>
    <row r="33" spans="1:12" ht="124" x14ac:dyDescent="0.7">
      <c r="A33" s="10" t="s">
        <v>36</v>
      </c>
      <c r="B33" s="11">
        <f>(B8+B9)*2*(B32+B25)/10</f>
        <v>1366152.8036131845</v>
      </c>
      <c r="C33" s="5" t="s">
        <v>20</v>
      </c>
      <c r="F33" s="13" t="str">
        <f t="shared" si="0"/>
        <v/>
      </c>
      <c r="G33" s="25" t="str">
        <f t="shared" si="6"/>
        <v/>
      </c>
      <c r="H33" s="18" t="str">
        <f t="shared" si="2"/>
        <v/>
      </c>
      <c r="I33" s="18" t="str">
        <f t="shared" si="3"/>
        <v/>
      </c>
      <c r="J33" s="18" t="str">
        <f t="shared" si="4"/>
        <v/>
      </c>
      <c r="K33" s="18" t="str">
        <f t="shared" si="1"/>
        <v/>
      </c>
      <c r="L33" s="18">
        <f t="shared" si="5"/>
        <v>0</v>
      </c>
    </row>
    <row r="34" spans="1:12" x14ac:dyDescent="0.7">
      <c r="F34" s="13" t="str">
        <f t="shared" si="0"/>
        <v/>
      </c>
      <c r="G34" s="25" t="str">
        <f t="shared" si="6"/>
        <v/>
      </c>
      <c r="H34" s="18" t="str">
        <f t="shared" si="2"/>
        <v/>
      </c>
      <c r="I34" s="18" t="str">
        <f t="shared" si="3"/>
        <v/>
      </c>
      <c r="J34" s="18" t="str">
        <f t="shared" si="4"/>
        <v/>
      </c>
      <c r="K34" s="18" t="str">
        <f t="shared" si="1"/>
        <v/>
      </c>
      <c r="L34" s="18">
        <f t="shared" si="5"/>
        <v>0</v>
      </c>
    </row>
    <row r="35" spans="1:12" x14ac:dyDescent="0.7">
      <c r="F35" s="13" t="str">
        <f t="shared" si="0"/>
        <v/>
      </c>
      <c r="G35" s="25" t="str">
        <f t="shared" si="6"/>
        <v/>
      </c>
      <c r="H35" s="18" t="str">
        <f t="shared" si="2"/>
        <v/>
      </c>
      <c r="I35" s="18" t="str">
        <f t="shared" si="3"/>
        <v/>
      </c>
      <c r="J35" s="18" t="str">
        <f t="shared" si="4"/>
        <v/>
      </c>
      <c r="K35" s="18" t="str">
        <f t="shared" si="1"/>
        <v/>
      </c>
      <c r="L35" s="18">
        <f t="shared" si="5"/>
        <v>0</v>
      </c>
    </row>
    <row r="36" spans="1:12" x14ac:dyDescent="0.7">
      <c r="F36" s="13" t="str">
        <f t="shared" si="0"/>
        <v/>
      </c>
      <c r="G36" s="25" t="str">
        <f t="shared" si="6"/>
        <v/>
      </c>
      <c r="H36" s="18" t="str">
        <f t="shared" si="2"/>
        <v/>
      </c>
      <c r="I36" s="18" t="str">
        <f t="shared" si="3"/>
        <v/>
      </c>
      <c r="J36" s="18" t="str">
        <f t="shared" si="4"/>
        <v/>
      </c>
      <c r="K36" s="18" t="str">
        <f t="shared" si="1"/>
        <v/>
      </c>
      <c r="L36" s="18">
        <f t="shared" si="5"/>
        <v>0</v>
      </c>
    </row>
    <row r="37" spans="1:12" x14ac:dyDescent="0.7">
      <c r="F37" s="13" t="str">
        <f t="shared" si="0"/>
        <v/>
      </c>
      <c r="G37" s="25" t="str">
        <f t="shared" si="6"/>
        <v/>
      </c>
      <c r="H37" s="18" t="str">
        <f t="shared" si="2"/>
        <v/>
      </c>
      <c r="I37" s="18" t="str">
        <f t="shared" si="3"/>
        <v/>
      </c>
      <c r="J37" s="18" t="str">
        <f t="shared" si="4"/>
        <v/>
      </c>
      <c r="K37" s="18" t="str">
        <f t="shared" si="1"/>
        <v/>
      </c>
      <c r="L37" s="18">
        <f t="shared" si="5"/>
        <v>0</v>
      </c>
    </row>
    <row r="38" spans="1:12" x14ac:dyDescent="0.7">
      <c r="F38" s="13" t="str">
        <f t="shared" si="0"/>
        <v/>
      </c>
      <c r="G38" s="25" t="str">
        <f t="shared" si="6"/>
        <v/>
      </c>
      <c r="H38" s="18" t="str">
        <f t="shared" si="2"/>
        <v/>
      </c>
      <c r="I38" s="18" t="str">
        <f t="shared" si="3"/>
        <v/>
      </c>
      <c r="J38" s="18" t="str">
        <f t="shared" si="4"/>
        <v/>
      </c>
      <c r="K38" s="18" t="str">
        <f t="shared" si="1"/>
        <v/>
      </c>
      <c r="L38" s="18">
        <f t="shared" si="5"/>
        <v>0</v>
      </c>
    </row>
    <row r="39" spans="1:12" x14ac:dyDescent="0.7">
      <c r="F39" s="13" t="str">
        <f t="shared" si="0"/>
        <v/>
      </c>
      <c r="G39" s="25" t="str">
        <f t="shared" si="6"/>
        <v/>
      </c>
      <c r="H39" s="18" t="str">
        <f t="shared" si="2"/>
        <v/>
      </c>
      <c r="I39" s="18" t="str">
        <f t="shared" si="3"/>
        <v/>
      </c>
      <c r="J39" s="18" t="str">
        <f t="shared" si="4"/>
        <v/>
      </c>
      <c r="K39" s="18" t="str">
        <f t="shared" si="1"/>
        <v/>
      </c>
      <c r="L39" s="18">
        <f t="shared" si="5"/>
        <v>0</v>
      </c>
    </row>
    <row r="40" spans="1:12" x14ac:dyDescent="0.7">
      <c r="F40" s="13" t="str">
        <f t="shared" si="0"/>
        <v/>
      </c>
      <c r="G40" s="25" t="str">
        <f t="shared" si="6"/>
        <v/>
      </c>
      <c r="H40" s="18" t="str">
        <f t="shared" si="2"/>
        <v/>
      </c>
      <c r="I40" s="18" t="str">
        <f t="shared" si="3"/>
        <v/>
      </c>
      <c r="J40" s="18" t="str">
        <f t="shared" si="4"/>
        <v/>
      </c>
      <c r="K40" s="18" t="str">
        <f t="shared" si="1"/>
        <v/>
      </c>
      <c r="L40" s="18">
        <f t="shared" si="5"/>
        <v>0</v>
      </c>
    </row>
    <row r="41" spans="1:12" x14ac:dyDescent="0.7">
      <c r="F41" s="13" t="str">
        <f t="shared" si="0"/>
        <v/>
      </c>
      <c r="G41" s="25" t="str">
        <f t="shared" si="6"/>
        <v/>
      </c>
      <c r="H41" s="18" t="str">
        <f t="shared" si="2"/>
        <v/>
      </c>
      <c r="I41" s="18" t="str">
        <f t="shared" si="3"/>
        <v/>
      </c>
      <c r="J41" s="18" t="str">
        <f t="shared" si="4"/>
        <v/>
      </c>
      <c r="K41" s="18" t="str">
        <f t="shared" si="1"/>
        <v/>
      </c>
      <c r="L41" s="18">
        <f t="shared" si="5"/>
        <v>0</v>
      </c>
    </row>
    <row r="42" spans="1:12" x14ac:dyDescent="0.7">
      <c r="F42" s="13" t="str">
        <f t="shared" si="0"/>
        <v/>
      </c>
      <c r="G42" s="25" t="str">
        <f t="shared" si="6"/>
        <v/>
      </c>
      <c r="H42" s="18" t="str">
        <f t="shared" si="2"/>
        <v/>
      </c>
      <c r="I42" s="18" t="str">
        <f t="shared" si="3"/>
        <v/>
      </c>
      <c r="J42" s="18" t="str">
        <f t="shared" si="4"/>
        <v/>
      </c>
      <c r="K42" s="18" t="str">
        <f t="shared" si="1"/>
        <v/>
      </c>
      <c r="L42" s="18">
        <f t="shared" si="5"/>
        <v>0</v>
      </c>
    </row>
    <row r="43" spans="1:12" x14ac:dyDescent="0.7">
      <c r="F43" s="13" t="str">
        <f t="shared" si="0"/>
        <v/>
      </c>
      <c r="G43" s="25" t="str">
        <f t="shared" si="6"/>
        <v/>
      </c>
      <c r="H43" s="18" t="str">
        <f t="shared" si="2"/>
        <v/>
      </c>
      <c r="I43" s="18" t="str">
        <f t="shared" si="3"/>
        <v/>
      </c>
      <c r="J43" s="18" t="str">
        <f t="shared" si="4"/>
        <v/>
      </c>
      <c r="K43" s="18" t="str">
        <f t="shared" si="1"/>
        <v/>
      </c>
      <c r="L43" s="18">
        <f t="shared" si="5"/>
        <v>0</v>
      </c>
    </row>
    <row r="44" spans="1:12" x14ac:dyDescent="0.7">
      <c r="F44" s="13" t="str">
        <f t="shared" si="0"/>
        <v/>
      </c>
      <c r="G44" s="25" t="str">
        <f t="shared" si="6"/>
        <v/>
      </c>
      <c r="H44" s="18" t="str">
        <f t="shared" si="2"/>
        <v/>
      </c>
      <c r="I44" s="18" t="str">
        <f t="shared" si="3"/>
        <v/>
      </c>
      <c r="J44" s="18" t="str">
        <f t="shared" si="4"/>
        <v/>
      </c>
      <c r="K44" s="18" t="str">
        <f t="shared" si="1"/>
        <v/>
      </c>
      <c r="L44" s="18">
        <f t="shared" si="5"/>
        <v>0</v>
      </c>
    </row>
    <row r="45" spans="1:12" x14ac:dyDescent="0.7">
      <c r="F45" s="13" t="str">
        <f t="shared" si="0"/>
        <v/>
      </c>
      <c r="G45" s="25" t="str">
        <f t="shared" si="6"/>
        <v/>
      </c>
      <c r="H45" s="18" t="str">
        <f t="shared" si="2"/>
        <v/>
      </c>
      <c r="I45" s="18" t="str">
        <f t="shared" si="3"/>
        <v/>
      </c>
      <c r="J45" s="18" t="str">
        <f t="shared" si="4"/>
        <v/>
      </c>
      <c r="K45" s="18" t="str">
        <f t="shared" si="1"/>
        <v/>
      </c>
      <c r="L45" s="18">
        <f t="shared" si="5"/>
        <v>0</v>
      </c>
    </row>
    <row r="46" spans="1:12" x14ac:dyDescent="0.7">
      <c r="F46" s="13" t="str">
        <f t="shared" si="0"/>
        <v/>
      </c>
      <c r="G46" s="25" t="str">
        <f t="shared" si="6"/>
        <v/>
      </c>
      <c r="H46" s="18" t="str">
        <f t="shared" si="2"/>
        <v/>
      </c>
      <c r="I46" s="18" t="str">
        <f t="shared" si="3"/>
        <v/>
      </c>
      <c r="J46" s="18" t="str">
        <f t="shared" si="4"/>
        <v/>
      </c>
      <c r="K46" s="18" t="str">
        <f t="shared" si="1"/>
        <v/>
      </c>
      <c r="L46" s="18">
        <f t="shared" si="5"/>
        <v>0</v>
      </c>
    </row>
    <row r="47" spans="1:12" x14ac:dyDescent="0.7">
      <c r="F47" s="13" t="str">
        <f t="shared" si="0"/>
        <v/>
      </c>
      <c r="G47" s="25" t="str">
        <f t="shared" si="6"/>
        <v/>
      </c>
      <c r="H47" s="18" t="str">
        <f t="shared" si="2"/>
        <v/>
      </c>
      <c r="I47" s="18" t="str">
        <f t="shared" si="3"/>
        <v/>
      </c>
      <c r="J47" s="18" t="str">
        <f t="shared" si="4"/>
        <v/>
      </c>
      <c r="K47" s="18" t="str">
        <f t="shared" si="1"/>
        <v/>
      </c>
      <c r="L47" s="18">
        <f t="shared" si="5"/>
        <v>0</v>
      </c>
    </row>
    <row r="48" spans="1:12" x14ac:dyDescent="0.7">
      <c r="F48" s="13" t="str">
        <f t="shared" si="0"/>
        <v/>
      </c>
      <c r="G48" s="25" t="str">
        <f t="shared" si="6"/>
        <v/>
      </c>
      <c r="H48" s="18" t="str">
        <f t="shared" si="2"/>
        <v/>
      </c>
      <c r="I48" s="18" t="str">
        <f t="shared" si="3"/>
        <v/>
      </c>
      <c r="J48" s="18" t="str">
        <f t="shared" si="4"/>
        <v/>
      </c>
      <c r="K48" s="18" t="str">
        <f t="shared" si="1"/>
        <v/>
      </c>
      <c r="L48" s="18">
        <f t="shared" si="5"/>
        <v>0</v>
      </c>
    </row>
    <row r="49" spans="6:12" x14ac:dyDescent="0.7">
      <c r="F49" s="13" t="str">
        <f t="shared" si="0"/>
        <v/>
      </c>
      <c r="G49" s="25" t="str">
        <f t="shared" si="6"/>
        <v/>
      </c>
      <c r="H49" s="18" t="str">
        <f t="shared" si="2"/>
        <v/>
      </c>
      <c r="I49" s="18" t="str">
        <f t="shared" si="3"/>
        <v/>
      </c>
      <c r="J49" s="18" t="str">
        <f t="shared" si="4"/>
        <v/>
      </c>
      <c r="K49" s="18" t="str">
        <f t="shared" si="1"/>
        <v/>
      </c>
      <c r="L49" s="18">
        <f t="shared" si="5"/>
        <v>0</v>
      </c>
    </row>
    <row r="50" spans="6:12" x14ac:dyDescent="0.7">
      <c r="F50" s="13" t="str">
        <f t="shared" si="0"/>
        <v/>
      </c>
      <c r="G50" s="25" t="str">
        <f t="shared" si="6"/>
        <v/>
      </c>
      <c r="H50" s="18" t="str">
        <f t="shared" si="2"/>
        <v/>
      </c>
      <c r="I50" s="18" t="str">
        <f t="shared" si="3"/>
        <v/>
      </c>
      <c r="J50" s="18" t="str">
        <f t="shared" si="4"/>
        <v/>
      </c>
      <c r="K50" s="18" t="str">
        <f t="shared" si="1"/>
        <v/>
      </c>
      <c r="L50" s="18">
        <f t="shared" si="5"/>
        <v>0</v>
      </c>
    </row>
  </sheetData>
  <mergeCells count="3">
    <mergeCell ref="A1:C2"/>
    <mergeCell ref="A5:C6"/>
    <mergeCell ref="A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NPS vs UPS Freefincal.com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Pattabiraman M</dc:creator>
  <cp:lastModifiedBy>Pattabiraman M</cp:lastModifiedBy>
  <dcterms:created xsi:type="dcterms:W3CDTF">2024-08-25T16:15:57Z</dcterms:created>
  <dcterms:modified xsi:type="dcterms:W3CDTF">2024-08-26T12:47:03Z</dcterms:modified>
</cp:coreProperties>
</file>