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d.docs.live.net/13418e9942066649/freefincal-lenovo/"/>
    </mc:Choice>
  </mc:AlternateContent>
  <xr:revisionPtr revIDLastSave="584" documentId="8_{55268845-4541-4B3C-8BE5-D70C0A2B3896}" xr6:coauthVersionLast="47" xr6:coauthVersionMax="47" xr10:uidLastSave="{53DC901F-B804-4B8B-A98B-912547FE09A1}"/>
  <bookViews>
    <workbookView xWindow="-110" yWindow="-110" windowWidth="25820" windowHeight="13900" xr2:uid="{96698CC2-B2AA-4A03-AF48-DD2D0CDD1248}"/>
  </bookViews>
  <sheets>
    <sheet name="NPS vs UPS Freefincal.com" sheetId="1" r:id="rId1"/>
    <sheet name="Withdrawal Rate Calculation"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0" i="1" l="1"/>
  <c r="B25" i="1"/>
  <c r="B18" i="2"/>
  <c r="B15" i="2"/>
  <c r="C10" i="2"/>
  <c r="C9" i="2"/>
  <c r="C7" i="2"/>
  <c r="A10" i="2"/>
  <c r="B9" i="2"/>
  <c r="A9" i="2"/>
  <c r="B8" i="2"/>
  <c r="B19" i="2" s="1"/>
  <c r="A8" i="2"/>
  <c r="B7" i="2"/>
  <c r="A7" i="2"/>
  <c r="B6" i="2"/>
  <c r="A6" i="2"/>
  <c r="B5" i="2"/>
  <c r="A5" i="2"/>
  <c r="B24" i="1" l="1"/>
  <c r="B28" i="1" s="1"/>
  <c r="B10" i="2" l="1"/>
  <c r="B20" i="2" s="1"/>
  <c r="H50" i="1"/>
  <c r="H49" i="1"/>
  <c r="H48" i="1"/>
  <c r="H47" i="1"/>
  <c r="H46" i="1"/>
  <c r="H45" i="1"/>
  <c r="H44" i="1"/>
  <c r="H43" i="1"/>
  <c r="H42" i="1"/>
  <c r="H41" i="1"/>
  <c r="H40" i="1"/>
  <c r="H39" i="1"/>
  <c r="H38" i="1"/>
  <c r="H37" i="1"/>
  <c r="H36" i="1"/>
  <c r="H35" i="1"/>
  <c r="H34" i="1"/>
  <c r="H33" i="1"/>
  <c r="H32" i="1"/>
  <c r="G50" i="1"/>
  <c r="G49" i="1"/>
  <c r="G48" i="1"/>
  <c r="G47" i="1"/>
  <c r="G46" i="1"/>
  <c r="G45" i="1"/>
  <c r="G44" i="1"/>
  <c r="G43" i="1"/>
  <c r="G42" i="1"/>
  <c r="G41" i="1"/>
  <c r="G40" i="1"/>
  <c r="G39" i="1"/>
  <c r="G38" i="1"/>
  <c r="G37" i="1"/>
  <c r="G36" i="1"/>
  <c r="G35" i="1"/>
  <c r="G34" i="1"/>
  <c r="G33" i="1"/>
  <c r="G32" i="1"/>
  <c r="G2" i="1"/>
  <c r="G3" i="1" s="1"/>
  <c r="G4" i="1" s="1"/>
  <c r="G5" i="1" s="1"/>
  <c r="G6" i="1" s="1"/>
  <c r="G7" i="1" s="1"/>
  <c r="G8" i="1" s="1"/>
  <c r="G9" i="1" s="1"/>
  <c r="G10" i="1" s="1"/>
  <c r="G11" i="1" s="1"/>
  <c r="G12" i="1" s="1"/>
  <c r="G13" i="1" s="1"/>
  <c r="G14" i="1" s="1"/>
  <c r="G15" i="1" s="1"/>
  <c r="G16" i="1" s="1"/>
  <c r="G17" i="1" s="1"/>
  <c r="G18" i="1" s="1"/>
  <c r="G19" i="1" s="1"/>
  <c r="G20" i="1" s="1"/>
  <c r="G21" i="1" s="1"/>
  <c r="G22" i="1" s="1"/>
  <c r="G23" i="1" s="1"/>
  <c r="G24" i="1" s="1"/>
  <c r="G25" i="1" s="1"/>
  <c r="G26" i="1" s="1"/>
  <c r="G27" i="1" s="1"/>
  <c r="G28" i="1" s="1"/>
  <c r="G29" i="1" s="1"/>
  <c r="G30" i="1" s="1"/>
  <c r="G31" i="1" s="1"/>
  <c r="B23" i="1"/>
  <c r="B35" i="1"/>
  <c r="B26" i="1"/>
  <c r="F3" i="1"/>
  <c r="F4" i="1" s="1"/>
  <c r="F5" i="1" s="1"/>
  <c r="F6" i="1" s="1"/>
  <c r="F7" i="1" s="1"/>
  <c r="F8" i="1" s="1"/>
  <c r="F9" i="1" s="1"/>
  <c r="F10" i="1" s="1"/>
  <c r="F11" i="1" s="1"/>
  <c r="F12" i="1" s="1"/>
  <c r="F13" i="1" s="1"/>
  <c r="F14" i="1" s="1"/>
  <c r="F15" i="1" s="1"/>
  <c r="F16" i="1" s="1"/>
  <c r="F17" i="1" s="1"/>
  <c r="F18" i="1" s="1"/>
  <c r="F19" i="1" s="1"/>
  <c r="F20" i="1" s="1"/>
  <c r="F21" i="1" s="1"/>
  <c r="F22" i="1" s="1"/>
  <c r="F23" i="1" s="1"/>
  <c r="F24" i="1" s="1"/>
  <c r="F25" i="1" s="1"/>
  <c r="F26" i="1" s="1"/>
  <c r="F27" i="1" s="1"/>
  <c r="F28" i="1" s="1"/>
  <c r="F29" i="1" s="1"/>
  <c r="F30" i="1" s="1"/>
  <c r="F31" i="1" s="1"/>
  <c r="F32" i="1" s="1"/>
  <c r="F33" i="1" s="1"/>
  <c r="F34" i="1" s="1"/>
  <c r="F35" i="1" s="1"/>
  <c r="F36" i="1" s="1"/>
  <c r="F37" i="1" s="1"/>
  <c r="F38" i="1" s="1"/>
  <c r="F39" i="1" s="1"/>
  <c r="F40" i="1" s="1"/>
  <c r="F41" i="1" s="1"/>
  <c r="F42" i="1" s="1"/>
  <c r="F43" i="1" s="1"/>
  <c r="F44" i="1" s="1"/>
  <c r="F45" i="1" s="1"/>
  <c r="F46" i="1" s="1"/>
  <c r="F47" i="1" s="1"/>
  <c r="F48" i="1" s="1"/>
  <c r="F49" i="1" s="1"/>
  <c r="F50" i="1" s="1"/>
  <c r="K50" i="1" s="1"/>
  <c r="B27" i="1"/>
  <c r="K46" i="1" l="1"/>
  <c r="K47" i="1"/>
  <c r="K49" i="1"/>
  <c r="K32" i="1"/>
  <c r="K45" i="1"/>
  <c r="K33" i="1"/>
  <c r="K36" i="1"/>
  <c r="K44" i="1"/>
  <c r="K37" i="1"/>
  <c r="K38" i="1"/>
  <c r="K35" i="1"/>
  <c r="K39" i="1"/>
  <c r="K48" i="1"/>
  <c r="K34" i="1"/>
  <c r="K40" i="1"/>
  <c r="K41" i="1"/>
  <c r="K42" i="1"/>
  <c r="K43" i="1"/>
  <c r="B36" i="1"/>
  <c r="B29" i="1" l="1"/>
  <c r="H18" i="1"/>
  <c r="H17" i="1"/>
  <c r="H16" i="1"/>
  <c r="H13" i="1"/>
  <c r="H28" i="1"/>
  <c r="H27" i="1"/>
  <c r="H2" i="1"/>
  <c r="I2" i="1" s="1"/>
  <c r="I3" i="1" s="1"/>
  <c r="I4" i="1" s="1"/>
  <c r="I5" i="1" s="1"/>
  <c r="I6" i="1" s="1"/>
  <c r="I7" i="1" s="1"/>
  <c r="I8" i="1" s="1"/>
  <c r="I9" i="1" s="1"/>
  <c r="H3" i="1"/>
  <c r="H30" i="1"/>
  <c r="H26" i="1"/>
  <c r="H21" i="1"/>
  <c r="H19" i="1"/>
  <c r="H14" i="1"/>
  <c r="H11" i="1"/>
  <c r="H22" i="1"/>
  <c r="H31" i="1"/>
  <c r="H15" i="1"/>
  <c r="H29" i="1"/>
  <c r="H12" i="1"/>
  <c r="H10" i="1"/>
  <c r="H25" i="1"/>
  <c r="H8" i="1"/>
  <c r="H23" i="1"/>
  <c r="H6" i="1"/>
  <c r="H9" i="1"/>
  <c r="H7" i="1"/>
  <c r="H4" i="1"/>
  <c r="H24" i="1"/>
  <c r="H5" i="1"/>
  <c r="H20" i="1"/>
  <c r="B31" i="1" l="1"/>
  <c r="B32" i="1" s="1"/>
  <c r="I10" i="1"/>
  <c r="J2" i="1"/>
  <c r="K2" i="1" l="1"/>
  <c r="J3" i="1"/>
  <c r="K3" i="1" s="1"/>
  <c r="I11" i="1"/>
  <c r="J4" i="1"/>
  <c r="K4" i="1" l="1"/>
  <c r="L4" i="1" s="1"/>
  <c r="J5" i="1"/>
  <c r="I12" i="1"/>
  <c r="L3" i="1"/>
  <c r="K5" i="1" l="1"/>
  <c r="I13" i="1"/>
  <c r="I14" i="1" l="1"/>
  <c r="I15" i="1" s="1"/>
  <c r="L5" i="1"/>
  <c r="J8" i="1" l="1"/>
  <c r="J9" i="1" l="1"/>
  <c r="I16" i="1"/>
  <c r="I17" i="1" s="1"/>
  <c r="J10" i="1" l="1"/>
  <c r="J11" i="1" l="1"/>
  <c r="I18" i="1"/>
  <c r="I19" i="1" s="1"/>
  <c r="J12" i="1" l="1"/>
  <c r="J13" i="1" l="1"/>
  <c r="I20" i="1"/>
  <c r="I21" i="1" s="1"/>
  <c r="J14" i="1" l="1"/>
  <c r="J15" i="1" l="1"/>
  <c r="I22" i="1"/>
  <c r="I23" i="1" s="1"/>
  <c r="J16" i="1" l="1"/>
  <c r="J17" i="1" l="1"/>
  <c r="I24" i="1"/>
  <c r="I25" i="1" s="1"/>
  <c r="J18" i="1" l="1"/>
  <c r="J19" i="1" l="1"/>
  <c r="I26" i="1"/>
  <c r="I27" i="1" s="1"/>
  <c r="J20" i="1" l="1"/>
  <c r="J21" i="1" l="1"/>
  <c r="I28" i="1"/>
  <c r="I29" i="1" s="1"/>
  <c r="J22" i="1" l="1"/>
  <c r="J23" i="1" l="1"/>
  <c r="I30" i="1"/>
  <c r="I31" i="1" s="1"/>
  <c r="J24" i="1" l="1"/>
  <c r="J25" i="1" l="1"/>
  <c r="I32" i="1"/>
  <c r="J26" i="1" l="1"/>
  <c r="J33" i="1"/>
  <c r="I33" i="1"/>
  <c r="J34" i="1" l="1"/>
  <c r="I34" i="1"/>
  <c r="J27" i="1"/>
  <c r="J28" i="1" l="1"/>
  <c r="J35" i="1"/>
  <c r="I35" i="1"/>
  <c r="L34" i="1"/>
  <c r="J36" i="1" l="1"/>
  <c r="I36" i="1"/>
  <c r="L35" i="1"/>
  <c r="J29" i="1"/>
  <c r="J30" i="1" l="1"/>
  <c r="I37" i="1"/>
  <c r="J37" i="1"/>
  <c r="L36" i="1"/>
  <c r="J38" i="1" l="1"/>
  <c r="I38" i="1"/>
  <c r="L37" i="1"/>
  <c r="J32" i="1"/>
  <c r="J31" i="1"/>
  <c r="J39" i="1" l="1"/>
  <c r="I39" i="1"/>
  <c r="L38" i="1"/>
  <c r="L33" i="1" l="1"/>
  <c r="I40" i="1"/>
  <c r="J40" i="1"/>
  <c r="L39" i="1"/>
  <c r="L41" i="1" l="1"/>
  <c r="I41" i="1"/>
  <c r="J41" i="1"/>
  <c r="L40" i="1"/>
  <c r="J42" i="1" l="1"/>
  <c r="I42" i="1"/>
  <c r="J43" i="1" l="1"/>
  <c r="I43" i="1"/>
  <c r="L42" i="1"/>
  <c r="I44" i="1" l="1"/>
  <c r="J44" i="1"/>
  <c r="L43" i="1"/>
  <c r="J45" i="1" l="1"/>
  <c r="I45" i="1"/>
  <c r="L44" i="1"/>
  <c r="J46" i="1" l="1"/>
  <c r="I46" i="1"/>
  <c r="L45" i="1"/>
  <c r="J47" i="1" l="1"/>
  <c r="I47" i="1"/>
  <c r="L46" i="1"/>
  <c r="J48" i="1" l="1"/>
  <c r="I48" i="1"/>
  <c r="L47" i="1"/>
  <c r="J49" i="1" l="1"/>
  <c r="I49" i="1"/>
  <c r="L48" i="1"/>
  <c r="L50" i="1" l="1"/>
  <c r="J50" i="1"/>
  <c r="I50" i="1"/>
  <c r="L49" i="1"/>
  <c r="J7" i="1" l="1"/>
  <c r="J6" i="1"/>
  <c r="K6" i="1" s="1"/>
  <c r="K7" i="1" s="1"/>
  <c r="L6" i="1" l="1"/>
  <c r="K8" i="1"/>
  <c r="L7" i="1"/>
  <c r="K9" i="1" l="1"/>
  <c r="L8" i="1"/>
  <c r="K10" i="1" l="1"/>
  <c r="L9" i="1"/>
  <c r="K11" i="1" l="1"/>
  <c r="L11" i="1" s="1"/>
  <c r="L10" i="1"/>
  <c r="K12" i="1" l="1"/>
  <c r="L12" i="1" s="1"/>
  <c r="K13" i="1" l="1"/>
  <c r="L13" i="1" s="1"/>
  <c r="K14" i="1" l="1"/>
  <c r="L14" i="1" s="1"/>
  <c r="K15" i="1" l="1"/>
  <c r="L15" i="1" s="1"/>
  <c r="K16" i="1" l="1"/>
  <c r="K17" i="1" l="1"/>
  <c r="L16" i="1"/>
  <c r="K18" i="1" l="1"/>
  <c r="L17" i="1"/>
  <c r="K19" i="1" l="1"/>
  <c r="L18" i="1"/>
  <c r="K20" i="1" l="1"/>
  <c r="L19" i="1"/>
  <c r="K21" i="1" l="1"/>
  <c r="L21" i="1" s="1"/>
  <c r="L20" i="1"/>
  <c r="K22" i="1" l="1"/>
  <c r="L22" i="1" s="1"/>
  <c r="K23" i="1" l="1"/>
  <c r="L23" i="1"/>
  <c r="K24" i="1" l="1"/>
  <c r="K25" i="1" l="1"/>
  <c r="L24" i="1"/>
  <c r="K26" i="1" l="1"/>
  <c r="L26" i="1" s="1"/>
  <c r="L25" i="1"/>
  <c r="K27" i="1" l="1"/>
  <c r="K28" i="1" l="1"/>
  <c r="L28" i="1" s="1"/>
  <c r="L27" i="1"/>
  <c r="K29" i="1" l="1"/>
  <c r="L29" i="1"/>
  <c r="K30" i="1" l="1"/>
  <c r="L30" i="1" s="1"/>
  <c r="K31" i="1" l="1"/>
  <c r="L32" i="1" s="1"/>
  <c r="L31" i="1" l="1"/>
  <c r="B33" i="1" s="1"/>
  <c r="B34" i="1" s="1"/>
</calcChain>
</file>

<file path=xl/sharedStrings.xml><?xml version="1.0" encoding="utf-8"?>
<sst xmlns="http://schemas.openxmlformats.org/spreadsheetml/2006/main" count="82" uniqueCount="81">
  <si>
    <t>Projected increase in basic pay</t>
  </si>
  <si>
    <t>Use a conservative number to account for pay commissions and promotions</t>
  </si>
  <si>
    <t>Expected growth in NPS contributions</t>
  </si>
  <si>
    <t>Current NPS Corpus</t>
  </si>
  <si>
    <t>Please be conservative</t>
  </si>
  <si>
    <t>Expected NPS corpus at retirement</t>
  </si>
  <si>
    <t>Expected basic pay at retirement</t>
  </si>
  <si>
    <t>NPS annuity rate at retirement</t>
  </si>
  <si>
    <t>Current Basic Pay (monthly)</t>
  </si>
  <si>
    <t>Remaining NPS Corpus</t>
  </si>
  <si>
    <t>NPS Corpus needed to match match UPS pension</t>
  </si>
  <si>
    <t>Expected increase in UPS pension after retirement</t>
  </si>
  <si>
    <t>How long you expect to live minus retirement age</t>
  </si>
  <si>
    <t>Year</t>
  </si>
  <si>
    <t>UPS Pension</t>
  </si>
  <si>
    <t>NPS Pension</t>
  </si>
  <si>
    <t>Balance</t>
  </si>
  <si>
    <t>NPS Year Balanace</t>
  </si>
  <si>
    <t>Is corpus negative</t>
  </si>
  <si>
    <t>Expected DA at retirement</t>
  </si>
  <si>
    <t>1/10th of monthly emoluments (pay + DA) as on the date of superannuation for every completed six months of              service. In addition, gratuity is also eligible (also eligible in NPS so need not be considered for comparison)</t>
  </si>
  <si>
    <t>Is the NPS corpus expected to be large enough to generate inflation-indexed pension like UPS?</t>
  </si>
  <si>
    <t>Please change only the green cells</t>
  </si>
  <si>
    <t>Current Service (years, no decimals)</t>
  </si>
  <si>
    <t>Years to retirement (years, no decimals)</t>
  </si>
  <si>
    <t>Expected years in retirement (years)</t>
  </si>
  <si>
    <t>Expected basic pay one year before retirement</t>
  </si>
  <si>
    <t>If the NPS can provide the same inflation-indexed pension as UPS, then there is no need to switch to UPS. If NPS shortfall is significant, you probably can consider switching to UPS. Either way invest as much as possible outside of NPS/UPS</t>
  </si>
  <si>
    <t>Current DA rate</t>
  </si>
  <si>
    <t>This assumes the DA rate increases in each year of future service by 5% from what it is today</t>
  </si>
  <si>
    <t>If this is less than your expected years in retirement, the remaining NPS corpus cannot provide inflation indexation via systematic withdrawals. If this is significantly lower than your expected years in retirement, UPS is better than NPS</t>
  </si>
  <si>
    <t>Please wait for the official UPS circular, understand the terms and conditions of the UPS well and then take a call</t>
  </si>
  <si>
    <r>
      <t>Caution and Disclaimer:</t>
    </r>
    <r>
      <rPr>
        <sz val="24"/>
        <color theme="1"/>
        <rFont val="Aptos Narrow"/>
        <family val="2"/>
        <scheme val="minor"/>
      </rPr>
      <t xml:space="preserve"> This calculator is based on the initial UPS press release and involves several projections. There maybe significant deviations between these numbers and real life values. </t>
    </r>
    <r>
      <rPr>
        <b/>
        <sz val="24"/>
        <color theme="1"/>
        <rFont val="Aptos Narrow"/>
        <family val="2"/>
        <scheme val="minor"/>
      </rPr>
      <t>This must be treated as a guesstimate. Use with discretion. This calculator may have bugs and errors in understanding. Please check all formulae to see if they make sense. For feedback and bug reports email: freefincal@gmail.com</t>
    </r>
  </si>
  <si>
    <r>
      <rPr>
        <b/>
        <sz val="24"/>
        <color theme="1"/>
        <rFont val="Aptos Narrow"/>
        <family val="2"/>
        <scheme val="minor"/>
      </rPr>
      <t>Underlying logic:</t>
    </r>
    <r>
      <rPr>
        <sz val="24"/>
        <color theme="1"/>
        <rFont val="Aptos Narrow"/>
        <family val="2"/>
        <scheme val="minor"/>
      </rPr>
      <t xml:space="preserve"> Can your future NPS corpus provide the same pension expected from UPS (with inflation indexation)? The NPS annuity provides part of this pension. Inflation indexation is provided via systematic withdrawals from the balance NPS corpus (if any!). If the answer is yes, then stay in NPS. If the answer is no, find out how much the shortfall is. For example, you expect to live 30 years after retirement, and NPS can provide an inflation-indexed pension for 29 years. The shortfall (1Y) is small. NPS and UPS are still comparable. If the shortfall is large (several years), then UPS is better than NPS</t>
    </r>
  </si>
  <si>
    <t>How long will the corpus last?</t>
  </si>
  <si>
    <t>Expected UPS lump sum at retirement. This relatively small amount is not used to decide between NPS and UPS.</t>
  </si>
  <si>
    <t>Expected rate of NPS return before retirement</t>
  </si>
  <si>
    <t>Expected rate of return from the balance NPS corpus after retirement</t>
  </si>
  <si>
    <t>After buying an annuity if you have any NPS corpus left (!) you can invest it and  periodically withdraw from it handle inflation</t>
  </si>
  <si>
    <t>Current total NPS contribution each month</t>
  </si>
  <si>
    <t>Use a conservative number to account for both DA hikes and basic pay hikes</t>
  </si>
  <si>
    <t>Expected hike in DA each year (approximately)</t>
  </si>
  <si>
    <t>Last ten year average of CPI yearly change</t>
  </si>
  <si>
    <t>Expected DA rate at retirement (relative to today)</t>
  </si>
  <si>
    <t>Da Rate</t>
  </si>
  <si>
    <t>UPS monthly pension including DA</t>
  </si>
  <si>
    <t>Basic pay (monthly) for  UPS pension at retirement (excluding DA)</t>
  </si>
  <si>
    <t>If negative, NPS cannot provide a pension equal to starting UPS pension</t>
  </si>
  <si>
    <t>This calculator goes beyond which is the better product (NPS or UPS) and asks which</t>
  </si>
  <si>
    <t>Current value of other investments meant for retirement excluding NPS</t>
  </si>
  <si>
    <t>Current investment in other instruments meant for retirement excluding NPS</t>
  </si>
  <si>
    <t>Expected increase in these investments (in other instruments) each year</t>
  </si>
  <si>
    <t>Expected value of these investments at retirement</t>
  </si>
  <si>
    <t>Overall return from these investments</t>
  </si>
  <si>
    <t>Exclude expenses for parents, children and EMIs</t>
  </si>
  <si>
    <t>Inflation until retirement</t>
  </si>
  <si>
    <r>
      <t xml:space="preserve">Current </t>
    </r>
    <r>
      <rPr>
        <b/>
        <sz val="24"/>
        <color theme="1"/>
        <rFont val="Aptos Narrow"/>
        <family val="2"/>
        <scheme val="minor"/>
      </rPr>
      <t xml:space="preserve">Annual </t>
    </r>
    <r>
      <rPr>
        <sz val="24"/>
        <color theme="1"/>
        <rFont val="Aptos Narrow"/>
        <family val="2"/>
        <scheme val="minor"/>
      </rPr>
      <t>Expenses that will continue in retirement</t>
    </r>
  </si>
  <si>
    <r>
      <t xml:space="preserve">Expected </t>
    </r>
    <r>
      <rPr>
        <b/>
        <sz val="24"/>
        <color theme="1"/>
        <rFont val="Aptos Narrow"/>
        <family val="2"/>
        <scheme val="minor"/>
      </rPr>
      <t xml:space="preserve">annual </t>
    </r>
    <r>
      <rPr>
        <sz val="24"/>
        <color theme="1"/>
        <rFont val="Aptos Narrow"/>
        <family val="2"/>
        <scheme val="minor"/>
      </rPr>
      <t>expenses at retirement</t>
    </r>
  </si>
  <si>
    <t>If less than 3.5% corpus large enough to not rely on pension; If between 3.5% to 4.5% corpus is reasonable but some pension necessary; If greater than 4.5% corpus too low, pension essential</t>
  </si>
  <si>
    <t>Current withdrawal rate (WR)</t>
  </si>
  <si>
    <t>Withdrawal rate (WR) at retirement</t>
  </si>
  <si>
    <t>If both current and future WR &lt; 3.5%</t>
  </si>
  <si>
    <t>UPS is not necessary</t>
  </si>
  <si>
    <t>If both current and future WR &gt; 4.5%</t>
  </si>
  <si>
    <t>UPS is necessary</t>
  </si>
  <si>
    <t>If current WR &gt; 4.5% and future WR &lt; 3.5%</t>
  </si>
  <si>
    <t>is better suited for you using withdrawal rates (annual expenses divided by corpus value)</t>
  </si>
  <si>
    <t>Entires in grey cells are borrowed from the other sheet. You can also replace them with different numbers</t>
  </si>
  <si>
    <t>If current WR &gt; 4.5% and future WR  bet 3.5% to 4.5%</t>
  </si>
  <si>
    <t>Grey area. UPS could be useful for you (depending on its T&amp;C). You may also be able to manage if you annuitize some portion of the NPS. The other investments are critical, so work on them.</t>
  </si>
  <si>
    <t>This will usually be high for new employees. Use this as motivation to keep your expenses low. Try to increase your investments in other instruments as much as possible</t>
  </si>
  <si>
    <t>Investments are critical to grow corpus. If you plan as invested and they grow as expected, UPS is not necessary. It is a risk but is it a reasonable one is something only you can answer Review regularly</t>
  </si>
  <si>
    <t>We shall assume this pension is the average of the two basic pays estimated in B24 and B25</t>
  </si>
  <si>
    <t>Lump sum payout under UPS</t>
  </si>
  <si>
    <t>This can be compared with remaining NPS corpus in B30</t>
  </si>
  <si>
    <t>Please be conservative (This is as per your chosen asset allocation)</t>
  </si>
  <si>
    <t>Expected rate of return of benchmark corpus</t>
  </si>
  <si>
    <t>This assumes "default pattern" asset allocation. We assume 85% debt + 15% equity</t>
  </si>
  <si>
    <t>Expected Benchmark Corpus</t>
  </si>
  <si>
    <t>This uses B18 as expected return</t>
  </si>
  <si>
    <t>Future withdrawals will affect the pension. If this corpus is greater than benchmark corpus, the excess will be added to lump sum paid out at retirement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</si>
</sst>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 #,##0_ ;_ * \-#,##0_ ;_ * &quot;-&quot;??_ ;_ @_ "/>
  </numFmts>
  <fonts count="3" x14ac:knownFonts="1">
    <font>
      <sz val="24"/>
      <color theme="1"/>
      <name val="Aptos Narrow"/>
      <family val="2"/>
      <scheme val="minor"/>
    </font>
    <font>
      <sz val="24"/>
      <color theme="1"/>
      <name val="Aptos Narrow"/>
      <family val="2"/>
      <scheme val="minor"/>
    </font>
    <font>
      <b/>
      <sz val="24"/>
      <color theme="1"/>
      <name val="Aptos Narrow"/>
      <family val="2"/>
      <scheme val="minor"/>
    </font>
  </fonts>
  <fills count="6">
    <fill>
      <patternFill patternType="none"/>
    </fill>
    <fill>
      <patternFill patternType="gray125"/>
    </fill>
    <fill>
      <patternFill patternType="solid">
        <fgColor theme="9" tint="0.39997558519241921"/>
        <bgColor indexed="64"/>
      </patternFill>
    </fill>
    <fill>
      <patternFill patternType="solid">
        <fgColor theme="2" tint="-9.9978637043366805E-2"/>
        <bgColor indexed="64"/>
      </patternFill>
    </fill>
    <fill>
      <patternFill patternType="solid">
        <fgColor rgb="FF92D050"/>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6">
    <xf numFmtId="0" fontId="0" fillId="0" borderId="0" xfId="0"/>
    <xf numFmtId="164" fontId="0" fillId="0" borderId="0" xfId="1" applyNumberFormat="1" applyFont="1"/>
    <xf numFmtId="0" fontId="0" fillId="0" borderId="1" xfId="0" applyBorder="1"/>
    <xf numFmtId="0" fontId="0" fillId="0" borderId="1" xfId="0" applyBorder="1" applyAlignment="1">
      <alignment vertical="center"/>
    </xf>
    <xf numFmtId="9" fontId="0" fillId="2" borderId="1" xfId="0" applyNumberFormat="1" applyFill="1" applyBorder="1" applyAlignment="1">
      <alignment horizontal="center" vertical="center"/>
    </xf>
    <xf numFmtId="0" fontId="0" fillId="0" borderId="1" xfId="0" applyBorder="1" applyAlignment="1">
      <alignment wrapText="1"/>
    </xf>
    <xf numFmtId="10" fontId="0" fillId="0" borderId="1" xfId="2" applyNumberFormat="1" applyFont="1" applyBorder="1"/>
    <xf numFmtId="43" fontId="0" fillId="0" borderId="1" xfId="0" applyNumberFormat="1" applyBorder="1"/>
    <xf numFmtId="0" fontId="0" fillId="0" borderId="1" xfId="0"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xf>
    <xf numFmtId="0" fontId="2" fillId="0" borderId="0" xfId="0" applyFont="1"/>
    <xf numFmtId="0" fontId="0" fillId="3" borderId="1" xfId="0" applyFill="1" applyBorder="1"/>
    <xf numFmtId="0" fontId="0" fillId="2" borderId="1" xfId="0" applyFill="1" applyBorder="1" applyAlignment="1">
      <alignment horizontal="center" vertical="center"/>
    </xf>
    <xf numFmtId="164" fontId="0" fillId="0" borderId="1" xfId="1" applyNumberFormat="1" applyFont="1" applyBorder="1" applyAlignment="1">
      <alignment horizontal="center" vertical="center"/>
    </xf>
    <xf numFmtId="43" fontId="0" fillId="0" borderId="1" xfId="0" applyNumberFormat="1" applyBorder="1" applyAlignment="1">
      <alignment horizontal="center" vertical="center"/>
    </xf>
    <xf numFmtId="0" fontId="2" fillId="0" borderId="1" xfId="0" applyFont="1" applyBorder="1" applyAlignment="1">
      <alignment horizontal="center" vertical="center"/>
    </xf>
    <xf numFmtId="164" fontId="0" fillId="3" borderId="1" xfId="0" applyNumberFormat="1" applyFill="1" applyBorder="1"/>
    <xf numFmtId="0" fontId="2" fillId="0" borderId="1" xfId="0" applyFont="1" applyBorder="1"/>
    <xf numFmtId="0" fontId="0" fillId="0" borderId="5" xfId="0" applyBorder="1" applyAlignment="1">
      <alignment wrapText="1"/>
    </xf>
    <xf numFmtId="10" fontId="0" fillId="0" borderId="5" xfId="2" applyNumberFormat="1" applyFont="1" applyFill="1" applyBorder="1" applyAlignment="1">
      <alignment wrapText="1"/>
    </xf>
    <xf numFmtId="0" fontId="0" fillId="0" borderId="5" xfId="0" applyBorder="1"/>
    <xf numFmtId="9" fontId="0" fillId="0" borderId="0" xfId="2" applyFont="1" applyAlignment="1">
      <alignment horizontal="center" vertical="center"/>
    </xf>
    <xf numFmtId="9" fontId="0" fillId="3" borderId="1" xfId="0" applyNumberFormat="1" applyFill="1" applyBorder="1"/>
    <xf numFmtId="9" fontId="0" fillId="3" borderId="1" xfId="2" applyFont="1" applyFill="1" applyBorder="1"/>
    <xf numFmtId="43" fontId="0" fillId="0" borderId="0" xfId="0" applyNumberFormat="1"/>
    <xf numFmtId="0" fontId="0" fillId="0" borderId="0" xfId="0" applyAlignment="1">
      <alignment wrapText="1"/>
    </xf>
    <xf numFmtId="0" fontId="0" fillId="4" borderId="0" xfId="0" applyFill="1"/>
    <xf numFmtId="9" fontId="0" fillId="4" borderId="0" xfId="0" applyNumberFormat="1" applyFill="1"/>
    <xf numFmtId="0" fontId="0" fillId="5" borderId="1" xfId="0" applyFill="1" applyBorder="1"/>
    <xf numFmtId="9" fontId="0" fillId="5" borderId="1" xfId="2" applyFont="1" applyFill="1" applyBorder="1" applyAlignment="1">
      <alignment wrapText="1"/>
    </xf>
    <xf numFmtId="0" fontId="0" fillId="5" borderId="1" xfId="0" applyFill="1" applyBorder="1" applyAlignment="1">
      <alignment horizontal="center"/>
    </xf>
    <xf numFmtId="9" fontId="0" fillId="5" borderId="1" xfId="2" applyFont="1" applyFill="1" applyBorder="1" applyAlignment="1">
      <alignment horizontal="center"/>
    </xf>
    <xf numFmtId="9" fontId="0" fillId="5" borderId="1" xfId="2"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10" fontId="0" fillId="0" borderId="0" xfId="2" applyNumberFormat="1" applyFont="1" applyAlignment="1">
      <alignment horizontal="center" vertical="center"/>
    </xf>
    <xf numFmtId="164" fontId="0" fillId="0" borderId="0" xfId="0" applyNumberFormat="1"/>
    <xf numFmtId="0" fontId="0" fillId="0" borderId="6" xfId="0" applyBorder="1" applyAlignment="1">
      <alignment wrapText="1"/>
    </xf>
    <xf numFmtId="0" fontId="2" fillId="0" borderId="5" xfId="0" applyFont="1" applyBorder="1"/>
    <xf numFmtId="0" fontId="2" fillId="0" borderId="1" xfId="0" applyFont="1" applyBorder="1" applyAlignment="1">
      <alignment horizontal="center" wrapText="1"/>
    </xf>
    <xf numFmtId="0" fontId="0" fillId="0" borderId="1" xfId="0" applyBorder="1" applyAlignment="1">
      <alignment vertic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41D63-DEAE-49B4-A507-9D8F9379E3D5}">
  <dimension ref="A1:L50"/>
  <sheetViews>
    <sheetView tabSelected="1" zoomScale="70" zoomScaleNormal="70" workbookViewId="0">
      <selection activeCell="B30" sqref="B30"/>
    </sheetView>
  </sheetViews>
  <sheetFormatPr defaultRowHeight="31" x14ac:dyDescent="0.7"/>
  <cols>
    <col min="1" max="1" width="42.83203125" bestFit="1" customWidth="1"/>
    <col min="2" max="2" width="13.7890625" bestFit="1" customWidth="1"/>
    <col min="3" max="3" width="50.0390625" customWidth="1"/>
    <col min="4" max="4" width="11.1640625" bestFit="1" customWidth="1"/>
    <col min="8" max="8" width="12.4140625" bestFit="1" customWidth="1"/>
    <col min="9" max="9" width="12.08203125" bestFit="1" customWidth="1"/>
    <col min="10" max="10" width="11.375" bestFit="1" customWidth="1"/>
    <col min="11" max="11" width="15.7890625" bestFit="1" customWidth="1"/>
    <col min="12" max="12" width="15.0390625" bestFit="1" customWidth="1"/>
  </cols>
  <sheetData>
    <row r="1" spans="1:12" ht="80" customHeight="1" x14ac:dyDescent="0.7">
      <c r="A1" s="41" t="s">
        <v>32</v>
      </c>
      <c r="B1" s="41"/>
      <c r="C1" s="41"/>
      <c r="F1" s="13" t="s">
        <v>13</v>
      </c>
      <c r="G1" s="13" t="s">
        <v>44</v>
      </c>
      <c r="H1" s="13" t="s">
        <v>14</v>
      </c>
      <c r="I1" s="13" t="s">
        <v>15</v>
      </c>
      <c r="J1" s="13" t="s">
        <v>16</v>
      </c>
      <c r="K1" s="13" t="s">
        <v>17</v>
      </c>
      <c r="L1" s="13" t="s">
        <v>18</v>
      </c>
    </row>
    <row r="2" spans="1:12" ht="63" customHeight="1" x14ac:dyDescent="0.7">
      <c r="A2" s="41"/>
      <c r="B2" s="41"/>
      <c r="C2" s="41"/>
      <c r="F2" s="13">
        <v>1</v>
      </c>
      <c r="G2" s="24">
        <f>B23</f>
        <v>1.25</v>
      </c>
      <c r="H2" s="18">
        <f>(B28*12)*(1+G2)</f>
        <v>1369865.1753621334</v>
      </c>
      <c r="I2" s="18">
        <f>H2</f>
        <v>1369865.1753621334</v>
      </c>
      <c r="J2" s="18">
        <f>H2-I2</f>
        <v>0</v>
      </c>
      <c r="K2" s="18">
        <f>IF(B32&gt;0,(B32-J2)*(1+$B$22),0)</f>
        <v>6614527.1018047705</v>
      </c>
      <c r="L2" s="18">
        <v>0</v>
      </c>
    </row>
    <row r="3" spans="1:12" x14ac:dyDescent="0.7">
      <c r="A3" s="19" t="s">
        <v>31</v>
      </c>
      <c r="B3" s="2"/>
      <c r="C3" s="2"/>
      <c r="F3" s="13">
        <f t="shared" ref="F3:F50" si="0">IF(F2&gt;=$B$10,"",F2+1)</f>
        <v>2</v>
      </c>
      <c r="G3" s="25">
        <f>IF(F3="","",G2+$B$13)</f>
        <v>1.3</v>
      </c>
      <c r="H3" s="18">
        <f t="shared" ref="H3:H50" si="1">IF(F3="","",($B$28*12)*(1+G3))</f>
        <v>1400306.623703514</v>
      </c>
      <c r="I3" s="18">
        <f>IF(F3="","",I2)</f>
        <v>1369865.1753621334</v>
      </c>
      <c r="J3" s="18">
        <f>IF(F3="","",H3-I3)</f>
        <v>30441.448341380572</v>
      </c>
      <c r="K3" s="18">
        <f t="shared" ref="K3:K50" si="2">IF(F3="","",(K2-J3)*(1+$B$22))</f>
        <v>7044971.6492058272</v>
      </c>
      <c r="L3" s="18">
        <f>IF(AND(K2&gt;0,K3&lt;=0),F3,0)</f>
        <v>0</v>
      </c>
    </row>
    <row r="4" spans="1:12" x14ac:dyDescent="0.7">
      <c r="A4" s="43"/>
      <c r="B4" s="44"/>
      <c r="C4" s="45"/>
      <c r="F4" s="13">
        <f t="shared" si="0"/>
        <v>3</v>
      </c>
      <c r="G4" s="25">
        <f>IF(F4="","",G3+$B$13)</f>
        <v>1.35</v>
      </c>
      <c r="H4" s="18">
        <f t="shared" si="1"/>
        <v>1430748.0720448948</v>
      </c>
      <c r="I4" s="18">
        <f t="shared" ref="I4:I50" si="3">IF(F4="","",I3)</f>
        <v>1369865.1753621334</v>
      </c>
      <c r="J4" s="18">
        <f t="shared" ref="J4:J50" si="4">IF(F4="","",H4-I4)</f>
        <v>60882.896682761377</v>
      </c>
      <c r="K4" s="18">
        <f t="shared" si="2"/>
        <v>7472974.965199681</v>
      </c>
      <c r="L4" s="18">
        <f t="shared" ref="L4:L50" si="5">IF(AND(K3&gt;0,K4&lt;=0),F4,0)</f>
        <v>0</v>
      </c>
    </row>
    <row r="5" spans="1:12" ht="71" customHeight="1" x14ac:dyDescent="0.7">
      <c r="A5" s="42" t="s">
        <v>33</v>
      </c>
      <c r="B5" s="42"/>
      <c r="C5" s="42"/>
      <c r="F5" s="13">
        <f t="shared" si="0"/>
        <v>4</v>
      </c>
      <c r="G5" s="25">
        <f t="shared" ref="G5:G50" si="6">IF(F5="","",G4+$B$13)</f>
        <v>1.4000000000000001</v>
      </c>
      <c r="H5" s="18">
        <f t="shared" si="1"/>
        <v>1461189.5203862758</v>
      </c>
      <c r="I5" s="18">
        <f t="shared" si="3"/>
        <v>1369865.1753621334</v>
      </c>
      <c r="J5" s="18">
        <f t="shared" si="4"/>
        <v>91324.345024142414</v>
      </c>
      <c r="K5" s="18">
        <f t="shared" si="2"/>
        <v>7898366.1635878263</v>
      </c>
      <c r="L5" s="18">
        <f t="shared" si="5"/>
        <v>0</v>
      </c>
    </row>
    <row r="6" spans="1:12" ht="79" customHeight="1" x14ac:dyDescent="0.7">
      <c r="A6" s="42"/>
      <c r="B6" s="42"/>
      <c r="C6" s="42"/>
      <c r="F6" s="13">
        <f t="shared" si="0"/>
        <v>5</v>
      </c>
      <c r="G6" s="25">
        <f t="shared" si="6"/>
        <v>1.4500000000000002</v>
      </c>
      <c r="H6" s="18">
        <f t="shared" si="1"/>
        <v>1491630.9687276564</v>
      </c>
      <c r="I6" s="18">
        <f t="shared" si="3"/>
        <v>1369865.1753621334</v>
      </c>
      <c r="J6" s="18">
        <f t="shared" si="4"/>
        <v>121765.79336552299</v>
      </c>
      <c r="K6" s="18">
        <f t="shared" si="2"/>
        <v>8320962.3961378643</v>
      </c>
      <c r="L6" s="18">
        <f t="shared" si="5"/>
        <v>0</v>
      </c>
    </row>
    <row r="7" spans="1:12" x14ac:dyDescent="0.7">
      <c r="A7" s="12" t="s">
        <v>22</v>
      </c>
      <c r="F7" s="13">
        <f t="shared" si="0"/>
        <v>6</v>
      </c>
      <c r="G7" s="25">
        <f t="shared" si="6"/>
        <v>1.5000000000000002</v>
      </c>
      <c r="H7" s="18">
        <f t="shared" si="1"/>
        <v>1522072.417069037</v>
      </c>
      <c r="I7" s="18">
        <f t="shared" si="3"/>
        <v>1369865.1753621334</v>
      </c>
      <c r="J7" s="18">
        <f t="shared" si="4"/>
        <v>152207.24170690356</v>
      </c>
      <c r="K7" s="18">
        <f t="shared" si="2"/>
        <v>8740568.0152411293</v>
      </c>
      <c r="L7" s="18">
        <f t="shared" si="5"/>
        <v>0</v>
      </c>
    </row>
    <row r="8" spans="1:12" x14ac:dyDescent="0.7">
      <c r="A8" s="2" t="s">
        <v>23</v>
      </c>
      <c r="B8" s="14">
        <v>15</v>
      </c>
      <c r="C8" s="2"/>
      <c r="F8" s="13">
        <f t="shared" si="0"/>
        <v>7</v>
      </c>
      <c r="G8" s="25">
        <f t="shared" si="6"/>
        <v>1.5500000000000003</v>
      </c>
      <c r="H8" s="18">
        <f t="shared" si="1"/>
        <v>1552513.865410418</v>
      </c>
      <c r="I8" s="18">
        <f t="shared" si="3"/>
        <v>1369865.1753621334</v>
      </c>
      <c r="J8" s="18">
        <f t="shared" si="4"/>
        <v>182648.6900482846</v>
      </c>
      <c r="K8" s="18">
        <f t="shared" si="2"/>
        <v>9156973.6779563446</v>
      </c>
      <c r="L8" s="18">
        <f t="shared" si="5"/>
        <v>0</v>
      </c>
    </row>
    <row r="9" spans="1:12" x14ac:dyDescent="0.7">
      <c r="A9" s="2" t="s">
        <v>24</v>
      </c>
      <c r="B9" s="14">
        <v>15</v>
      </c>
      <c r="C9" s="2"/>
      <c r="F9" s="13">
        <f t="shared" si="0"/>
        <v>8</v>
      </c>
      <c r="G9" s="25">
        <f t="shared" si="6"/>
        <v>1.6000000000000003</v>
      </c>
      <c r="H9" s="18">
        <f t="shared" si="1"/>
        <v>1582955.3137517988</v>
      </c>
      <c r="I9" s="18">
        <f t="shared" si="3"/>
        <v>1369865.1753621334</v>
      </c>
      <c r="J9" s="18">
        <f t="shared" si="4"/>
        <v>213090.1383896654</v>
      </c>
      <c r="K9" s="18">
        <f t="shared" si="2"/>
        <v>9569955.3873363473</v>
      </c>
      <c r="L9" s="18">
        <f t="shared" si="5"/>
        <v>0</v>
      </c>
    </row>
    <row r="10" spans="1:12" x14ac:dyDescent="0.7">
      <c r="A10" s="5" t="s">
        <v>25</v>
      </c>
      <c r="B10" s="14">
        <v>30</v>
      </c>
      <c r="C10" s="2" t="s">
        <v>12</v>
      </c>
      <c r="F10" s="13">
        <f t="shared" si="0"/>
        <v>9</v>
      </c>
      <c r="G10" s="25">
        <f t="shared" si="6"/>
        <v>1.6500000000000004</v>
      </c>
      <c r="H10" s="18">
        <f t="shared" si="1"/>
        <v>1613396.7620931794</v>
      </c>
      <c r="I10" s="18">
        <f t="shared" si="3"/>
        <v>1369865.1753621334</v>
      </c>
      <c r="J10" s="18">
        <f t="shared" si="4"/>
        <v>243531.58673104597</v>
      </c>
      <c r="K10" s="18">
        <f t="shared" si="2"/>
        <v>9979273.4666476715</v>
      </c>
      <c r="L10" s="18">
        <f t="shared" si="5"/>
        <v>0</v>
      </c>
    </row>
    <row r="11" spans="1:12" x14ac:dyDescent="0.7">
      <c r="A11" s="2" t="s">
        <v>8</v>
      </c>
      <c r="B11" s="14">
        <v>50000</v>
      </c>
      <c r="C11" s="2"/>
      <c r="F11" s="13">
        <f t="shared" si="0"/>
        <v>10</v>
      </c>
      <c r="G11" s="25">
        <f t="shared" si="6"/>
        <v>1.7000000000000004</v>
      </c>
      <c r="H11" s="18">
        <f t="shared" si="1"/>
        <v>1643838.2104345602</v>
      </c>
      <c r="I11" s="18">
        <f t="shared" si="3"/>
        <v>1369865.1753621334</v>
      </c>
      <c r="J11" s="18">
        <f t="shared" si="4"/>
        <v>273973.03507242678</v>
      </c>
      <c r="K11" s="18">
        <f t="shared" si="2"/>
        <v>10384671.461785512</v>
      </c>
      <c r="L11" s="18">
        <f t="shared" si="5"/>
        <v>0</v>
      </c>
    </row>
    <row r="12" spans="1:12" x14ac:dyDescent="0.7">
      <c r="A12" s="2" t="s">
        <v>28</v>
      </c>
      <c r="B12" s="4">
        <v>0.5</v>
      </c>
      <c r="C12" s="2"/>
      <c r="F12" s="13">
        <f t="shared" si="0"/>
        <v>11</v>
      </c>
      <c r="G12" s="25">
        <f t="shared" si="6"/>
        <v>1.7500000000000004</v>
      </c>
      <c r="H12" s="18">
        <f t="shared" si="1"/>
        <v>1674279.658775941</v>
      </c>
      <c r="I12" s="18">
        <f t="shared" si="3"/>
        <v>1369865.1753621334</v>
      </c>
      <c r="J12" s="18">
        <f t="shared" si="4"/>
        <v>304414.48341380758</v>
      </c>
      <c r="K12" s="18">
        <f t="shared" si="2"/>
        <v>10785874.966857724</v>
      </c>
      <c r="L12" s="18">
        <f t="shared" si="5"/>
        <v>0</v>
      </c>
    </row>
    <row r="13" spans="1:12" x14ac:dyDescent="0.7">
      <c r="A13" s="22" t="s">
        <v>41</v>
      </c>
      <c r="B13" s="4">
        <v>0.05</v>
      </c>
      <c r="C13" t="s">
        <v>42</v>
      </c>
      <c r="F13" s="13">
        <f t="shared" si="0"/>
        <v>12</v>
      </c>
      <c r="G13" s="25">
        <f t="shared" si="6"/>
        <v>1.8000000000000005</v>
      </c>
      <c r="H13" s="18">
        <f t="shared" si="1"/>
        <v>1704721.1071173218</v>
      </c>
      <c r="I13" s="18">
        <f t="shared" si="3"/>
        <v>1369865.1753621334</v>
      </c>
      <c r="J13" s="18">
        <f t="shared" si="4"/>
        <v>334855.93175518839</v>
      </c>
      <c r="K13" s="18">
        <f t="shared" si="2"/>
        <v>11182590.367559712</v>
      </c>
      <c r="L13" s="18">
        <f t="shared" si="5"/>
        <v>0</v>
      </c>
    </row>
    <row r="14" spans="1:12" ht="62" x14ac:dyDescent="0.7">
      <c r="A14" s="3" t="s">
        <v>0</v>
      </c>
      <c r="B14" s="4">
        <v>0.05</v>
      </c>
      <c r="C14" s="5" t="s">
        <v>1</v>
      </c>
      <c r="F14" s="13">
        <f t="shared" si="0"/>
        <v>13</v>
      </c>
      <c r="G14" s="25">
        <f t="shared" si="6"/>
        <v>1.8500000000000005</v>
      </c>
      <c r="H14" s="18">
        <f t="shared" si="1"/>
        <v>1735162.5554587026</v>
      </c>
      <c r="I14" s="18">
        <f t="shared" si="3"/>
        <v>1369865.1753621334</v>
      </c>
      <c r="J14" s="18">
        <f t="shared" si="4"/>
        <v>365297.38009656919</v>
      </c>
      <c r="K14" s="18">
        <f t="shared" si="2"/>
        <v>11574503.496585563</v>
      </c>
      <c r="L14" s="18">
        <f t="shared" si="5"/>
        <v>0</v>
      </c>
    </row>
    <row r="15" spans="1:12" x14ac:dyDescent="0.7">
      <c r="A15" s="2" t="s">
        <v>39</v>
      </c>
      <c r="B15" s="14">
        <v>18000</v>
      </c>
      <c r="C15" s="2"/>
      <c r="F15" s="13">
        <f t="shared" si="0"/>
        <v>14</v>
      </c>
      <c r="G15" s="25">
        <f t="shared" si="6"/>
        <v>1.9000000000000006</v>
      </c>
      <c r="H15" s="18">
        <f t="shared" si="1"/>
        <v>1765604.0038000832</v>
      </c>
      <c r="I15" s="18">
        <f t="shared" si="3"/>
        <v>1369865.1753621334</v>
      </c>
      <c r="J15" s="18">
        <f t="shared" si="4"/>
        <v>395738.82843794976</v>
      </c>
      <c r="K15" s="18">
        <f t="shared" si="2"/>
        <v>11961278.194917945</v>
      </c>
      <c r="L15" s="18">
        <f t="shared" si="5"/>
        <v>0</v>
      </c>
    </row>
    <row r="16" spans="1:12" ht="62" x14ac:dyDescent="0.7">
      <c r="A16" s="2" t="s">
        <v>2</v>
      </c>
      <c r="B16" s="4">
        <v>0.1</v>
      </c>
      <c r="C16" s="5" t="s">
        <v>40</v>
      </c>
      <c r="F16" s="13">
        <f t="shared" si="0"/>
        <v>15</v>
      </c>
      <c r="G16" s="25">
        <f t="shared" si="6"/>
        <v>1.9500000000000006</v>
      </c>
      <c r="H16" s="18">
        <f t="shared" si="1"/>
        <v>1796045.452141464</v>
      </c>
      <c r="I16" s="18">
        <f t="shared" si="3"/>
        <v>1369865.1753621334</v>
      </c>
      <c r="J16" s="18">
        <f t="shared" si="4"/>
        <v>426180.27677933057</v>
      </c>
      <c r="K16" s="18">
        <f t="shared" si="2"/>
        <v>12342554.772408318</v>
      </c>
      <c r="L16" s="18">
        <f t="shared" si="5"/>
        <v>0</v>
      </c>
    </row>
    <row r="17" spans="1:12" x14ac:dyDescent="0.7">
      <c r="A17" s="2" t="s">
        <v>3</v>
      </c>
      <c r="B17" s="14">
        <v>4000000</v>
      </c>
      <c r="C17" s="2"/>
      <c r="F17" s="13">
        <f t="shared" si="0"/>
        <v>16</v>
      </c>
      <c r="G17" s="25">
        <f t="shared" si="6"/>
        <v>2.0000000000000004</v>
      </c>
      <c r="H17" s="18">
        <f t="shared" si="1"/>
        <v>1826486.9004828448</v>
      </c>
      <c r="I17" s="18">
        <f t="shared" si="3"/>
        <v>1369865.1753621334</v>
      </c>
      <c r="J17" s="18">
        <f t="shared" si="4"/>
        <v>456621.72512071137</v>
      </c>
      <c r="K17" s="18">
        <f t="shared" si="2"/>
        <v>12717948.360597739</v>
      </c>
      <c r="L17" s="18">
        <f t="shared" si="5"/>
        <v>0</v>
      </c>
    </row>
    <row r="18" spans="1:12" ht="62" x14ac:dyDescent="0.7">
      <c r="A18" s="22" t="s">
        <v>76</v>
      </c>
      <c r="B18" s="4">
        <v>0.08</v>
      </c>
      <c r="C18" s="39" t="s">
        <v>77</v>
      </c>
      <c r="F18" s="13">
        <f t="shared" si="0"/>
        <v>17</v>
      </c>
      <c r="G18" s="25">
        <f t="shared" si="6"/>
        <v>2.0500000000000003</v>
      </c>
      <c r="H18" s="18">
        <f t="shared" si="1"/>
        <v>1856928.3488242254</v>
      </c>
      <c r="I18" s="18">
        <f t="shared" si="3"/>
        <v>1369865.1753621334</v>
      </c>
      <c r="J18" s="18">
        <f t="shared" si="4"/>
        <v>487063.17346209195</v>
      </c>
      <c r="K18" s="18">
        <f t="shared" si="2"/>
        <v>13087047.150235144</v>
      </c>
      <c r="L18" s="18">
        <f t="shared" si="5"/>
        <v>0</v>
      </c>
    </row>
    <row r="19" spans="1:12" x14ac:dyDescent="0.7">
      <c r="A19" s="2" t="s">
        <v>36</v>
      </c>
      <c r="B19" s="4">
        <v>0.1</v>
      </c>
      <c r="C19" s="6" t="s">
        <v>75</v>
      </c>
      <c r="F19" s="13">
        <f t="shared" si="0"/>
        <v>18</v>
      </c>
      <c r="G19" s="25">
        <f t="shared" si="6"/>
        <v>2.1</v>
      </c>
      <c r="H19" s="18">
        <f t="shared" si="1"/>
        <v>1887369.7971656059</v>
      </c>
      <c r="I19" s="18">
        <f t="shared" si="3"/>
        <v>1369865.1753621334</v>
      </c>
      <c r="J19" s="18">
        <f t="shared" si="4"/>
        <v>517504.62180347252</v>
      </c>
      <c r="K19" s="18">
        <f t="shared" si="2"/>
        <v>13449410.50542189</v>
      </c>
      <c r="L19" s="18">
        <f t="shared" si="5"/>
        <v>0</v>
      </c>
    </row>
    <row r="20" spans="1:12" x14ac:dyDescent="0.7">
      <c r="A20" s="2" t="s">
        <v>7</v>
      </c>
      <c r="B20" s="4">
        <v>0.06</v>
      </c>
      <c r="C20" s="6" t="s">
        <v>4</v>
      </c>
      <c r="F20" s="13">
        <f t="shared" si="0"/>
        <v>19</v>
      </c>
      <c r="G20" s="25">
        <f t="shared" si="6"/>
        <v>2.15</v>
      </c>
      <c r="H20" s="18">
        <f t="shared" si="1"/>
        <v>1917811.2455069865</v>
      </c>
      <c r="I20" s="18">
        <f t="shared" si="3"/>
        <v>1369865.1753621334</v>
      </c>
      <c r="J20" s="18">
        <f t="shared" si="4"/>
        <v>547946.07014485309</v>
      </c>
      <c r="K20" s="18">
        <f t="shared" si="2"/>
        <v>13804566.945746431</v>
      </c>
      <c r="L20" s="18">
        <f t="shared" si="5"/>
        <v>0</v>
      </c>
    </row>
    <row r="21" spans="1:12" x14ac:dyDescent="0.7">
      <c r="A21" s="2" t="s">
        <v>11</v>
      </c>
      <c r="B21" s="4">
        <v>0.05</v>
      </c>
      <c r="C21" s="6" t="s">
        <v>4</v>
      </c>
      <c r="F21" s="13">
        <f t="shared" si="0"/>
        <v>20</v>
      </c>
      <c r="G21" s="25">
        <f t="shared" si="6"/>
        <v>2.1999999999999997</v>
      </c>
      <c r="H21" s="18">
        <f t="shared" si="1"/>
        <v>1948252.6938483673</v>
      </c>
      <c r="I21" s="18">
        <f t="shared" si="3"/>
        <v>1369865.1753621334</v>
      </c>
      <c r="J21" s="18">
        <f t="shared" si="4"/>
        <v>578387.51848623389</v>
      </c>
      <c r="K21" s="18">
        <f t="shared" si="2"/>
        <v>14152011.987168413</v>
      </c>
      <c r="L21" s="18">
        <f t="shared" si="5"/>
        <v>0</v>
      </c>
    </row>
    <row r="22" spans="1:12" ht="62" x14ac:dyDescent="0.7">
      <c r="A22" s="20" t="s">
        <v>37</v>
      </c>
      <c r="B22" s="4">
        <v>7.0000000000000007E-2</v>
      </c>
      <c r="C22" s="21" t="s">
        <v>38</v>
      </c>
      <c r="F22" s="13">
        <f t="shared" si="0"/>
        <v>21</v>
      </c>
      <c r="G22" s="25">
        <f t="shared" si="6"/>
        <v>2.2499999999999996</v>
      </c>
      <c r="H22" s="18">
        <f t="shared" si="1"/>
        <v>1978694.1421897479</v>
      </c>
      <c r="I22" s="18">
        <f t="shared" si="3"/>
        <v>1369865.1753621334</v>
      </c>
      <c r="J22" s="18">
        <f t="shared" si="4"/>
        <v>608828.96682761447</v>
      </c>
      <c r="K22" s="18">
        <f t="shared" si="2"/>
        <v>14491205.831764655</v>
      </c>
      <c r="L22" s="18">
        <f t="shared" si="5"/>
        <v>0</v>
      </c>
    </row>
    <row r="23" spans="1:12" x14ac:dyDescent="0.7">
      <c r="A23" s="22" t="s">
        <v>43</v>
      </c>
      <c r="B23" s="23">
        <f>(B12+(B13*B9))</f>
        <v>1.25</v>
      </c>
      <c r="F23" s="13">
        <f t="shared" si="0"/>
        <v>22</v>
      </c>
      <c r="G23" s="25">
        <f t="shared" si="6"/>
        <v>2.2999999999999994</v>
      </c>
      <c r="H23" s="18">
        <f t="shared" si="1"/>
        <v>2009135.5905311285</v>
      </c>
      <c r="I23" s="18">
        <f t="shared" si="3"/>
        <v>1369865.1753621334</v>
      </c>
      <c r="J23" s="18">
        <f t="shared" si="4"/>
        <v>639270.41516899504</v>
      </c>
      <c r="K23" s="18">
        <f t="shared" si="2"/>
        <v>14821570.895757357</v>
      </c>
      <c r="L23" s="18">
        <f t="shared" si="5"/>
        <v>0</v>
      </c>
    </row>
    <row r="24" spans="1:12" ht="93" x14ac:dyDescent="0.7">
      <c r="A24" s="3" t="s">
        <v>5</v>
      </c>
      <c r="B24" s="15">
        <f>(B17*(1+B19)^B9)+IF(B19=B16,12*B15*B9*(1+B19)^(B9-1),(12*B15*((1+B19)^B9-(1+B16+0.00001%)^B9)/(B19-B16+0.00001%)))</f>
        <v>29012887.285759643</v>
      </c>
      <c r="C24" s="5" t="s">
        <v>80</v>
      </c>
      <c r="F24" s="13">
        <f t="shared" si="0"/>
        <v>23</v>
      </c>
      <c r="G24" s="25">
        <f t="shared" si="6"/>
        <v>2.3499999999999992</v>
      </c>
      <c r="H24" s="18">
        <f t="shared" si="1"/>
        <v>2039577.038872509</v>
      </c>
      <c r="I24" s="18">
        <f t="shared" si="3"/>
        <v>1369865.1753621334</v>
      </c>
      <c r="J24" s="18">
        <f t="shared" si="4"/>
        <v>669711.86351037561</v>
      </c>
      <c r="K24" s="18">
        <f t="shared" si="2"/>
        <v>15142489.164504271</v>
      </c>
      <c r="L24" s="18">
        <f t="shared" si="5"/>
        <v>0</v>
      </c>
    </row>
    <row r="25" spans="1:12" x14ac:dyDescent="0.7">
      <c r="A25" s="22" t="s">
        <v>78</v>
      </c>
      <c r="B25" s="1">
        <f>(B17*(1+B18)^B9)+IF(B19=B16,12*B15*B9*(1+B18)^(B9-1),(12*B15*((1+B18)^B9-(1+B16+0.00001%)^B9)/(B18-B16+0.00001%)))</f>
        <v>22205183.799387902</v>
      </c>
      <c r="C25" t="s">
        <v>79</v>
      </c>
      <c r="F25" s="13">
        <f t="shared" si="0"/>
        <v>24</v>
      </c>
      <c r="G25" s="25">
        <f t="shared" si="6"/>
        <v>2.399999999999999</v>
      </c>
      <c r="H25" s="18">
        <f t="shared" si="1"/>
        <v>2070018.4872138898</v>
      </c>
      <c r="I25" s="18">
        <f t="shared" si="3"/>
        <v>1369865.1753621334</v>
      </c>
      <c r="J25" s="18">
        <f t="shared" si="4"/>
        <v>700153.31185175641</v>
      </c>
      <c r="K25" s="18">
        <f t="shared" si="2"/>
        <v>15453299.362338191</v>
      </c>
      <c r="L25" s="18">
        <f t="shared" si="5"/>
        <v>0</v>
      </c>
    </row>
    <row r="26" spans="1:12" x14ac:dyDescent="0.7">
      <c r="A26" s="2" t="s">
        <v>26</v>
      </c>
      <c r="B26" s="1">
        <f>B11*(1+B14)^(B9-1)</f>
        <v>98996.57997196987</v>
      </c>
      <c r="D26" s="26"/>
      <c r="F26" s="13">
        <f t="shared" si="0"/>
        <v>25</v>
      </c>
      <c r="G26" s="25">
        <f t="shared" si="6"/>
        <v>2.4499999999999988</v>
      </c>
      <c r="H26" s="18">
        <f t="shared" si="1"/>
        <v>2100459.9355552704</v>
      </c>
      <c r="I26" s="18">
        <f t="shared" si="3"/>
        <v>1369865.1753621334</v>
      </c>
      <c r="J26" s="18">
        <f t="shared" si="4"/>
        <v>730594.76019313699</v>
      </c>
      <c r="K26" s="18">
        <f t="shared" si="2"/>
        <v>15753293.924295207</v>
      </c>
      <c r="L26" s="18">
        <f t="shared" si="5"/>
        <v>0</v>
      </c>
    </row>
    <row r="27" spans="1:12" x14ac:dyDescent="0.7">
      <c r="A27" s="2" t="s">
        <v>6</v>
      </c>
      <c r="B27" s="15">
        <f>B11*(1+B14)^B9</f>
        <v>103946.40897056839</v>
      </c>
      <c r="C27" s="2"/>
      <c r="F27" s="13">
        <f t="shared" si="0"/>
        <v>26</v>
      </c>
      <c r="G27" s="25">
        <f t="shared" si="6"/>
        <v>2.4999999999999987</v>
      </c>
      <c r="H27" s="18">
        <f t="shared" si="1"/>
        <v>2130901.3838966512</v>
      </c>
      <c r="I27" s="18">
        <f t="shared" si="3"/>
        <v>1369865.1753621334</v>
      </c>
      <c r="J27" s="18">
        <f t="shared" si="4"/>
        <v>761036.20853451779</v>
      </c>
      <c r="K27" s="18">
        <f t="shared" si="2"/>
        <v>16041715.755863938</v>
      </c>
      <c r="L27" s="18">
        <f t="shared" si="5"/>
        <v>0</v>
      </c>
    </row>
    <row r="28" spans="1:12" ht="62" x14ac:dyDescent="0.7">
      <c r="A28" s="5" t="s">
        <v>46</v>
      </c>
      <c r="B28" s="16">
        <f>IF(IF(B24&gt;B25,1,B24/B25)*IF((B8+B9)&gt;=25,0.5,0.5*(B8+B9)/25)*(B27+B26)/2&lt;10000,10000,IF(B24&gt;B25,1,B24/B25)*IF((B8+B9)&gt;=25,0.5,0.5*(B8+B9)/25)*(B27+B26)/2)</f>
        <v>50735.747235634568</v>
      </c>
      <c r="C28" s="5" t="s">
        <v>72</v>
      </c>
      <c r="F28" s="13">
        <f t="shared" si="0"/>
        <v>27</v>
      </c>
      <c r="G28" s="25">
        <f t="shared" si="6"/>
        <v>2.5499999999999985</v>
      </c>
      <c r="H28" s="18">
        <f t="shared" si="1"/>
        <v>2161342.8322380316</v>
      </c>
      <c r="I28" s="18">
        <f t="shared" si="3"/>
        <v>1369865.1753621334</v>
      </c>
      <c r="J28" s="18">
        <f t="shared" si="4"/>
        <v>791477.65687589813</v>
      </c>
      <c r="K28" s="18">
        <f t="shared" si="2"/>
        <v>16317754.765917204</v>
      </c>
      <c r="L28" s="18">
        <f t="shared" si="5"/>
        <v>0</v>
      </c>
    </row>
    <row r="29" spans="1:12" x14ac:dyDescent="0.7">
      <c r="A29" s="40" t="s">
        <v>45</v>
      </c>
      <c r="B29" s="26">
        <f>B28*(1+B23)</f>
        <v>114155.43128017779</v>
      </c>
      <c r="C29" s="26"/>
      <c r="D29" s="26"/>
      <c r="F29" s="13">
        <f t="shared" si="0"/>
        <v>28</v>
      </c>
      <c r="G29" s="25">
        <f t="shared" si="6"/>
        <v>2.5999999999999983</v>
      </c>
      <c r="H29" s="18">
        <f t="shared" si="1"/>
        <v>2191784.2805794124</v>
      </c>
      <c r="I29" s="18">
        <f t="shared" si="3"/>
        <v>1369865.1753621334</v>
      </c>
      <c r="J29" s="18">
        <f t="shared" si="4"/>
        <v>821919.10521727894</v>
      </c>
      <c r="K29" s="18">
        <f t="shared" si="2"/>
        <v>16580544.156948922</v>
      </c>
      <c r="L29" s="18">
        <f t="shared" si="5"/>
        <v>0</v>
      </c>
    </row>
    <row r="30" spans="1:12" x14ac:dyDescent="0.7">
      <c r="A30" s="22" t="s">
        <v>73</v>
      </c>
      <c r="B30" s="38">
        <f>(B27*(A51+B23)/10)*IF((B8+B9)&lt;10,0,(B8+B9)*2)+IF(B24&gt;B25,B24-B25,0)</f>
        <v>7587301.5536510032</v>
      </c>
      <c r="C30" t="s">
        <v>74</v>
      </c>
      <c r="F30" s="13">
        <f t="shared" si="0"/>
        <v>29</v>
      </c>
      <c r="G30" s="25">
        <f t="shared" si="6"/>
        <v>2.6499999999999981</v>
      </c>
      <c r="H30" s="18">
        <f t="shared" si="1"/>
        <v>2222225.7289207932</v>
      </c>
      <c r="I30" s="18">
        <f t="shared" si="3"/>
        <v>1369865.1753621334</v>
      </c>
      <c r="J30" s="18">
        <f t="shared" si="4"/>
        <v>852360.55355865974</v>
      </c>
      <c r="K30" s="18">
        <f t="shared" si="2"/>
        <v>16829156.455627579</v>
      </c>
      <c r="L30" s="18">
        <f t="shared" si="5"/>
        <v>0</v>
      </c>
    </row>
    <row r="31" spans="1:12" x14ac:dyDescent="0.7">
      <c r="A31" s="2" t="s">
        <v>10</v>
      </c>
      <c r="B31" s="11">
        <f>12*B29/B20</f>
        <v>22831086.256035559</v>
      </c>
      <c r="C31" s="7"/>
      <c r="F31" s="13">
        <f t="shared" si="0"/>
        <v>30</v>
      </c>
      <c r="G31" s="25">
        <f t="shared" si="6"/>
        <v>2.699999999999998</v>
      </c>
      <c r="H31" s="18">
        <f t="shared" si="1"/>
        <v>2252667.1772621735</v>
      </c>
      <c r="I31" s="18">
        <f t="shared" si="3"/>
        <v>1369865.1753621334</v>
      </c>
      <c r="J31" s="18">
        <f t="shared" si="4"/>
        <v>882802.00190004008</v>
      </c>
      <c r="K31" s="18">
        <f t="shared" si="2"/>
        <v>17062599.265488468</v>
      </c>
      <c r="L31" s="18">
        <f t="shared" si="5"/>
        <v>0</v>
      </c>
    </row>
    <row r="32" spans="1:12" ht="62" x14ac:dyDescent="0.7">
      <c r="A32" s="2" t="s">
        <v>9</v>
      </c>
      <c r="B32" s="16">
        <f>B24-B31</f>
        <v>6181801.0297240838</v>
      </c>
      <c r="C32" s="5" t="s">
        <v>47</v>
      </c>
      <c r="F32" s="13" t="str">
        <f t="shared" si="0"/>
        <v/>
      </c>
      <c r="G32" s="25" t="str">
        <f t="shared" si="6"/>
        <v/>
      </c>
      <c r="H32" s="18" t="str">
        <f t="shared" si="1"/>
        <v/>
      </c>
      <c r="I32" s="18" t="str">
        <f t="shared" si="3"/>
        <v/>
      </c>
      <c r="J32" s="18" t="str">
        <f t="shared" si="4"/>
        <v/>
      </c>
      <c r="K32" s="18" t="str">
        <f t="shared" si="2"/>
        <v/>
      </c>
      <c r="L32" s="18">
        <f t="shared" si="5"/>
        <v>0</v>
      </c>
    </row>
    <row r="33" spans="1:12" ht="124" x14ac:dyDescent="0.7">
      <c r="A33" s="9" t="s">
        <v>34</v>
      </c>
      <c r="B33" s="9">
        <f>IF(B32&lt;0,0,IF(SUM(L2:L50)=0,B10,SUM(L2:L50)))</f>
        <v>30</v>
      </c>
      <c r="C33" s="5" t="s">
        <v>30</v>
      </c>
      <c r="F33" s="13" t="str">
        <f t="shared" si="0"/>
        <v/>
      </c>
      <c r="G33" s="25" t="str">
        <f t="shared" si="6"/>
        <v/>
      </c>
      <c r="H33" s="18" t="str">
        <f t="shared" si="1"/>
        <v/>
      </c>
      <c r="I33" s="18" t="str">
        <f t="shared" si="3"/>
        <v/>
      </c>
      <c r="J33" s="18" t="str">
        <f t="shared" si="4"/>
        <v/>
      </c>
      <c r="K33" s="18" t="str">
        <f t="shared" si="2"/>
        <v/>
      </c>
      <c r="L33" s="18">
        <f t="shared" si="5"/>
        <v>0</v>
      </c>
    </row>
    <row r="34" spans="1:12" ht="124" x14ac:dyDescent="0.7">
      <c r="A34" s="8" t="s">
        <v>21</v>
      </c>
      <c r="B34" s="17" t="str">
        <f>IF(B32&lt;0,"No",IF(B33&lt;B10,"No","Yes"))</f>
        <v>Yes</v>
      </c>
      <c r="C34" s="5" t="s">
        <v>27</v>
      </c>
      <c r="F34" s="13" t="str">
        <f t="shared" si="0"/>
        <v/>
      </c>
      <c r="G34" s="25" t="str">
        <f t="shared" si="6"/>
        <v/>
      </c>
      <c r="H34" s="18" t="str">
        <f t="shared" si="1"/>
        <v/>
      </c>
      <c r="I34" s="18" t="str">
        <f t="shared" si="3"/>
        <v/>
      </c>
      <c r="J34" s="18" t="str">
        <f t="shared" si="4"/>
        <v/>
      </c>
      <c r="K34" s="18" t="str">
        <f t="shared" si="2"/>
        <v/>
      </c>
      <c r="L34" s="18">
        <f t="shared" si="5"/>
        <v>0</v>
      </c>
    </row>
    <row r="35" spans="1:12" ht="62" x14ac:dyDescent="0.7">
      <c r="A35" s="2" t="s">
        <v>19</v>
      </c>
      <c r="B35" s="15">
        <f>(B12+(B13*B9))*B26</f>
        <v>123745.72496496234</v>
      </c>
      <c r="C35" s="5" t="s">
        <v>29</v>
      </c>
      <c r="F35" s="13" t="str">
        <f t="shared" si="0"/>
        <v/>
      </c>
      <c r="G35" s="25" t="str">
        <f t="shared" si="6"/>
        <v/>
      </c>
      <c r="H35" s="18" t="str">
        <f t="shared" si="1"/>
        <v/>
      </c>
      <c r="I35" s="18" t="str">
        <f t="shared" si="3"/>
        <v/>
      </c>
      <c r="J35" s="18" t="str">
        <f t="shared" si="4"/>
        <v/>
      </c>
      <c r="K35" s="18" t="str">
        <f t="shared" si="2"/>
        <v/>
      </c>
      <c r="L35" s="18">
        <f t="shared" si="5"/>
        <v>0</v>
      </c>
    </row>
    <row r="36" spans="1:12" ht="124" x14ac:dyDescent="0.7">
      <c r="A36" s="10" t="s">
        <v>35</v>
      </c>
      <c r="B36" s="11">
        <f>(B8+B9)*2*(B35+B27)/10</f>
        <v>1366152.8036131845</v>
      </c>
      <c r="C36" s="5" t="s">
        <v>20</v>
      </c>
      <c r="F36" s="13" t="str">
        <f t="shared" si="0"/>
        <v/>
      </c>
      <c r="G36" s="25" t="str">
        <f t="shared" si="6"/>
        <v/>
      </c>
      <c r="H36" s="18" t="str">
        <f t="shared" si="1"/>
        <v/>
      </c>
      <c r="I36" s="18" t="str">
        <f t="shared" si="3"/>
        <v/>
      </c>
      <c r="J36" s="18" t="str">
        <f t="shared" si="4"/>
        <v/>
      </c>
      <c r="K36" s="18" t="str">
        <f t="shared" si="2"/>
        <v/>
      </c>
      <c r="L36" s="18">
        <f t="shared" si="5"/>
        <v>0</v>
      </c>
    </row>
    <row r="37" spans="1:12" x14ac:dyDescent="0.7">
      <c r="F37" s="13" t="str">
        <f t="shared" si="0"/>
        <v/>
      </c>
      <c r="G37" s="25" t="str">
        <f t="shared" si="6"/>
        <v/>
      </c>
      <c r="H37" s="18" t="str">
        <f t="shared" si="1"/>
        <v/>
      </c>
      <c r="I37" s="18" t="str">
        <f t="shared" si="3"/>
        <v/>
      </c>
      <c r="J37" s="18" t="str">
        <f t="shared" si="4"/>
        <v/>
      </c>
      <c r="K37" s="18" t="str">
        <f t="shared" si="2"/>
        <v/>
      </c>
      <c r="L37" s="18">
        <f t="shared" si="5"/>
        <v>0</v>
      </c>
    </row>
    <row r="38" spans="1:12" x14ac:dyDescent="0.7">
      <c r="F38" s="13" t="str">
        <f t="shared" si="0"/>
        <v/>
      </c>
      <c r="G38" s="25" t="str">
        <f t="shared" si="6"/>
        <v/>
      </c>
      <c r="H38" s="18" t="str">
        <f t="shared" si="1"/>
        <v/>
      </c>
      <c r="I38" s="18" t="str">
        <f t="shared" si="3"/>
        <v/>
      </c>
      <c r="J38" s="18" t="str">
        <f t="shared" si="4"/>
        <v/>
      </c>
      <c r="K38" s="18" t="str">
        <f t="shared" si="2"/>
        <v/>
      </c>
      <c r="L38" s="18">
        <f t="shared" si="5"/>
        <v>0</v>
      </c>
    </row>
    <row r="39" spans="1:12" x14ac:dyDescent="0.7">
      <c r="F39" s="13" t="str">
        <f t="shared" si="0"/>
        <v/>
      </c>
      <c r="G39" s="25" t="str">
        <f t="shared" si="6"/>
        <v/>
      </c>
      <c r="H39" s="18" t="str">
        <f t="shared" si="1"/>
        <v/>
      </c>
      <c r="I39" s="18" t="str">
        <f t="shared" si="3"/>
        <v/>
      </c>
      <c r="J39" s="18" t="str">
        <f t="shared" si="4"/>
        <v/>
      </c>
      <c r="K39" s="18" t="str">
        <f t="shared" si="2"/>
        <v/>
      </c>
      <c r="L39" s="18">
        <f t="shared" si="5"/>
        <v>0</v>
      </c>
    </row>
    <row r="40" spans="1:12" x14ac:dyDescent="0.7">
      <c r="F40" s="13" t="str">
        <f t="shared" si="0"/>
        <v/>
      </c>
      <c r="G40" s="25" t="str">
        <f t="shared" si="6"/>
        <v/>
      </c>
      <c r="H40" s="18" t="str">
        <f t="shared" si="1"/>
        <v/>
      </c>
      <c r="I40" s="18" t="str">
        <f t="shared" si="3"/>
        <v/>
      </c>
      <c r="J40" s="18" t="str">
        <f t="shared" si="4"/>
        <v/>
      </c>
      <c r="K40" s="18" t="str">
        <f t="shared" si="2"/>
        <v/>
      </c>
      <c r="L40" s="18">
        <f t="shared" si="5"/>
        <v>0</v>
      </c>
    </row>
    <row r="41" spans="1:12" x14ac:dyDescent="0.7">
      <c r="F41" s="13" t="str">
        <f t="shared" si="0"/>
        <v/>
      </c>
      <c r="G41" s="25" t="str">
        <f t="shared" si="6"/>
        <v/>
      </c>
      <c r="H41" s="18" t="str">
        <f t="shared" si="1"/>
        <v/>
      </c>
      <c r="I41" s="18" t="str">
        <f t="shared" si="3"/>
        <v/>
      </c>
      <c r="J41" s="18" t="str">
        <f t="shared" si="4"/>
        <v/>
      </c>
      <c r="K41" s="18" t="str">
        <f t="shared" si="2"/>
        <v/>
      </c>
      <c r="L41" s="18">
        <f t="shared" si="5"/>
        <v>0</v>
      </c>
    </row>
    <row r="42" spans="1:12" x14ac:dyDescent="0.7">
      <c r="F42" s="13" t="str">
        <f t="shared" si="0"/>
        <v/>
      </c>
      <c r="G42" s="25" t="str">
        <f t="shared" si="6"/>
        <v/>
      </c>
      <c r="H42" s="18" t="str">
        <f t="shared" si="1"/>
        <v/>
      </c>
      <c r="I42" s="18" t="str">
        <f t="shared" si="3"/>
        <v/>
      </c>
      <c r="J42" s="18" t="str">
        <f t="shared" si="4"/>
        <v/>
      </c>
      <c r="K42" s="18" t="str">
        <f t="shared" si="2"/>
        <v/>
      </c>
      <c r="L42" s="18">
        <f t="shared" si="5"/>
        <v>0</v>
      </c>
    </row>
    <row r="43" spans="1:12" x14ac:dyDescent="0.7">
      <c r="F43" s="13" t="str">
        <f t="shared" si="0"/>
        <v/>
      </c>
      <c r="G43" s="25" t="str">
        <f t="shared" si="6"/>
        <v/>
      </c>
      <c r="H43" s="18" t="str">
        <f t="shared" si="1"/>
        <v/>
      </c>
      <c r="I43" s="18" t="str">
        <f t="shared" si="3"/>
        <v/>
      </c>
      <c r="J43" s="18" t="str">
        <f t="shared" si="4"/>
        <v/>
      </c>
      <c r="K43" s="18" t="str">
        <f t="shared" si="2"/>
        <v/>
      </c>
      <c r="L43" s="18">
        <f t="shared" si="5"/>
        <v>0</v>
      </c>
    </row>
    <row r="44" spans="1:12" x14ac:dyDescent="0.7">
      <c r="F44" s="13" t="str">
        <f t="shared" si="0"/>
        <v/>
      </c>
      <c r="G44" s="25" t="str">
        <f t="shared" si="6"/>
        <v/>
      </c>
      <c r="H44" s="18" t="str">
        <f t="shared" si="1"/>
        <v/>
      </c>
      <c r="I44" s="18" t="str">
        <f t="shared" si="3"/>
        <v/>
      </c>
      <c r="J44" s="18" t="str">
        <f t="shared" si="4"/>
        <v/>
      </c>
      <c r="K44" s="18" t="str">
        <f t="shared" si="2"/>
        <v/>
      </c>
      <c r="L44" s="18">
        <f t="shared" si="5"/>
        <v>0</v>
      </c>
    </row>
    <row r="45" spans="1:12" x14ac:dyDescent="0.7">
      <c r="F45" s="13" t="str">
        <f t="shared" si="0"/>
        <v/>
      </c>
      <c r="G45" s="25" t="str">
        <f t="shared" si="6"/>
        <v/>
      </c>
      <c r="H45" s="18" t="str">
        <f t="shared" si="1"/>
        <v/>
      </c>
      <c r="I45" s="18" t="str">
        <f t="shared" si="3"/>
        <v/>
      </c>
      <c r="J45" s="18" t="str">
        <f t="shared" si="4"/>
        <v/>
      </c>
      <c r="K45" s="18" t="str">
        <f t="shared" si="2"/>
        <v/>
      </c>
      <c r="L45" s="18">
        <f t="shared" si="5"/>
        <v>0</v>
      </c>
    </row>
    <row r="46" spans="1:12" x14ac:dyDescent="0.7">
      <c r="F46" s="13" t="str">
        <f t="shared" si="0"/>
        <v/>
      </c>
      <c r="G46" s="25" t="str">
        <f t="shared" si="6"/>
        <v/>
      </c>
      <c r="H46" s="18" t="str">
        <f t="shared" si="1"/>
        <v/>
      </c>
      <c r="I46" s="18" t="str">
        <f t="shared" si="3"/>
        <v/>
      </c>
      <c r="J46" s="18" t="str">
        <f t="shared" si="4"/>
        <v/>
      </c>
      <c r="K46" s="18" t="str">
        <f t="shared" si="2"/>
        <v/>
      </c>
      <c r="L46" s="18">
        <f t="shared" si="5"/>
        <v>0</v>
      </c>
    </row>
    <row r="47" spans="1:12" x14ac:dyDescent="0.7">
      <c r="F47" s="13" t="str">
        <f t="shared" si="0"/>
        <v/>
      </c>
      <c r="G47" s="25" t="str">
        <f t="shared" si="6"/>
        <v/>
      </c>
      <c r="H47" s="18" t="str">
        <f t="shared" si="1"/>
        <v/>
      </c>
      <c r="I47" s="18" t="str">
        <f t="shared" si="3"/>
        <v/>
      </c>
      <c r="J47" s="18" t="str">
        <f t="shared" si="4"/>
        <v/>
      </c>
      <c r="K47" s="18" t="str">
        <f t="shared" si="2"/>
        <v/>
      </c>
      <c r="L47" s="18">
        <f t="shared" si="5"/>
        <v>0</v>
      </c>
    </row>
    <row r="48" spans="1:12" x14ac:dyDescent="0.7">
      <c r="F48" s="13" t="str">
        <f t="shared" si="0"/>
        <v/>
      </c>
      <c r="G48" s="25" t="str">
        <f t="shared" si="6"/>
        <v/>
      </c>
      <c r="H48" s="18" t="str">
        <f t="shared" si="1"/>
        <v/>
      </c>
      <c r="I48" s="18" t="str">
        <f t="shared" si="3"/>
        <v/>
      </c>
      <c r="J48" s="18" t="str">
        <f t="shared" si="4"/>
        <v/>
      </c>
      <c r="K48" s="18" t="str">
        <f t="shared" si="2"/>
        <v/>
      </c>
      <c r="L48" s="18">
        <f t="shared" si="5"/>
        <v>0</v>
      </c>
    </row>
    <row r="49" spans="6:12" x14ac:dyDescent="0.7">
      <c r="F49" s="13" t="str">
        <f t="shared" si="0"/>
        <v/>
      </c>
      <c r="G49" s="25" t="str">
        <f t="shared" si="6"/>
        <v/>
      </c>
      <c r="H49" s="18" t="str">
        <f t="shared" si="1"/>
        <v/>
      </c>
      <c r="I49" s="18" t="str">
        <f t="shared" si="3"/>
        <v/>
      </c>
      <c r="J49" s="18" t="str">
        <f t="shared" si="4"/>
        <v/>
      </c>
      <c r="K49" s="18" t="str">
        <f t="shared" si="2"/>
        <v/>
      </c>
      <c r="L49" s="18">
        <f t="shared" si="5"/>
        <v>0</v>
      </c>
    </row>
    <row r="50" spans="6:12" x14ac:dyDescent="0.7">
      <c r="F50" s="13" t="str">
        <f t="shared" si="0"/>
        <v/>
      </c>
      <c r="G50" s="25" t="str">
        <f t="shared" si="6"/>
        <v/>
      </c>
      <c r="H50" s="18" t="str">
        <f t="shared" si="1"/>
        <v/>
      </c>
      <c r="I50" s="18" t="str">
        <f t="shared" si="3"/>
        <v/>
      </c>
      <c r="J50" s="18" t="str">
        <f t="shared" si="4"/>
        <v/>
      </c>
      <c r="K50" s="18" t="str">
        <f t="shared" si="2"/>
        <v/>
      </c>
      <c r="L50" s="18">
        <f t="shared" si="5"/>
        <v>0</v>
      </c>
    </row>
  </sheetData>
  <mergeCells count="3">
    <mergeCell ref="A1:C2"/>
    <mergeCell ref="A5:C6"/>
    <mergeCell ref="A4:C4"/>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CDB19-82C1-4604-A9CE-CD9F39BFEDDC}">
  <dimension ref="A1:C25"/>
  <sheetViews>
    <sheetView topLeftCell="A12" zoomScale="60" zoomScaleNormal="60" workbookViewId="0">
      <selection activeCell="B10" sqref="B10"/>
    </sheetView>
  </sheetViews>
  <sheetFormatPr defaultRowHeight="31" x14ac:dyDescent="0.7"/>
  <cols>
    <col min="1" max="1" width="36.75" customWidth="1"/>
    <col min="2" max="2" width="12.20703125" bestFit="1" customWidth="1"/>
    <col min="3" max="3" width="56.45703125" customWidth="1"/>
    <col min="4" max="4" width="51.45703125" customWidth="1"/>
  </cols>
  <sheetData>
    <row r="1" spans="1:3" x14ac:dyDescent="0.7">
      <c r="A1" t="s">
        <v>48</v>
      </c>
    </row>
    <row r="2" spans="1:3" x14ac:dyDescent="0.7">
      <c r="A2" t="s">
        <v>66</v>
      </c>
    </row>
    <row r="3" spans="1:3" x14ac:dyDescent="0.7">
      <c r="A3" t="s">
        <v>67</v>
      </c>
    </row>
    <row r="5" spans="1:3" x14ac:dyDescent="0.7">
      <c r="A5" s="30" t="str">
        <f>'NPS vs UPS Freefincal.com'!A9</f>
        <v>Years to retirement (years, no decimals)</v>
      </c>
      <c r="B5" s="32">
        <f>'NPS vs UPS Freefincal.com'!B9</f>
        <v>15</v>
      </c>
      <c r="C5" s="30"/>
    </row>
    <row r="6" spans="1:3" x14ac:dyDescent="0.7">
      <c r="A6" s="30" t="str">
        <f>'NPS vs UPS Freefincal.com'!A15</f>
        <v>Current total NPS contribution each month</v>
      </c>
      <c r="B6" s="32">
        <f>'NPS vs UPS Freefincal.com'!B15</f>
        <v>18000</v>
      </c>
      <c r="C6" s="30"/>
    </row>
    <row r="7" spans="1:3" ht="62" x14ac:dyDescent="0.7">
      <c r="A7" s="30" t="str">
        <f>'NPS vs UPS Freefincal.com'!A16</f>
        <v>Expected growth in NPS contributions</v>
      </c>
      <c r="B7" s="34">
        <f>'NPS vs UPS Freefincal.com'!B16</f>
        <v>0.1</v>
      </c>
      <c r="C7" s="31" t="str">
        <f>'NPS vs UPS Freefincal.com'!C16</f>
        <v>Use a conservative number to account for both DA hikes and basic pay hikes</v>
      </c>
    </row>
    <row r="8" spans="1:3" x14ac:dyDescent="0.7">
      <c r="A8" s="30" t="str">
        <f>'NPS vs UPS Freefincal.com'!A17</f>
        <v>Current NPS Corpus</v>
      </c>
      <c r="B8" s="32">
        <f>'NPS vs UPS Freefincal.com'!B17</f>
        <v>4000000</v>
      </c>
      <c r="C8" s="31"/>
    </row>
    <row r="9" spans="1:3" x14ac:dyDescent="0.7">
      <c r="A9" s="30" t="str">
        <f>'NPS vs UPS Freefincal.com'!A19</f>
        <v>Expected rate of NPS return before retirement</v>
      </c>
      <c r="B9" s="33">
        <f>'NPS vs UPS Freefincal.com'!B19</f>
        <v>0.1</v>
      </c>
      <c r="C9" s="31" t="str">
        <f>'NPS vs UPS Freefincal.com'!C19</f>
        <v>Please be conservative (This is as per your chosen asset allocation)</v>
      </c>
    </row>
    <row r="10" spans="1:3" x14ac:dyDescent="0.7">
      <c r="A10" s="30" t="str">
        <f>'NPS vs UPS Freefincal.com'!A24</f>
        <v>Expected NPS corpus at retirement</v>
      </c>
      <c r="B10" s="32">
        <f>'NPS vs UPS Freefincal.com'!B24</f>
        <v>29012887.285759643</v>
      </c>
      <c r="C10" s="31" t="str">
        <f>'NPS vs UPS Freefincal.com'!C20</f>
        <v>Please be conservative</v>
      </c>
    </row>
    <row r="11" spans="1:3" ht="62" x14ac:dyDescent="0.7">
      <c r="A11" s="27" t="s">
        <v>49</v>
      </c>
      <c r="B11" s="28">
        <v>3500000</v>
      </c>
    </row>
    <row r="12" spans="1:3" ht="62" x14ac:dyDescent="0.7">
      <c r="A12" s="27" t="s">
        <v>50</v>
      </c>
      <c r="B12" s="28">
        <v>15000</v>
      </c>
    </row>
    <row r="13" spans="1:3" ht="62" x14ac:dyDescent="0.7">
      <c r="A13" s="27" t="s">
        <v>51</v>
      </c>
      <c r="B13" s="29">
        <v>0.06</v>
      </c>
    </row>
    <row r="14" spans="1:3" x14ac:dyDescent="0.7">
      <c r="A14" s="27" t="s">
        <v>53</v>
      </c>
      <c r="B14" s="29">
        <v>0.09</v>
      </c>
    </row>
    <row r="15" spans="1:3" ht="62" x14ac:dyDescent="0.7">
      <c r="A15" s="27" t="s">
        <v>52</v>
      </c>
      <c r="B15">
        <f>(B11*(1+B14)^B5)+IF(B14=B13,12*B12*B5*(1+B14)^(B5-1),(12*B12*((1+B14)^B5-(1+B13+0.00001%)^B5)/(B14-B13+0.00001%)))</f>
        <v>20224188.941949833</v>
      </c>
    </row>
    <row r="16" spans="1:3" ht="62" x14ac:dyDescent="0.7">
      <c r="A16" s="27" t="s">
        <v>56</v>
      </c>
      <c r="B16" s="28">
        <v>600000</v>
      </c>
      <c r="C16" t="s">
        <v>54</v>
      </c>
    </row>
    <row r="17" spans="1:3" x14ac:dyDescent="0.7">
      <c r="A17" s="27" t="s">
        <v>55</v>
      </c>
      <c r="B17" s="29">
        <v>0.06</v>
      </c>
    </row>
    <row r="18" spans="1:3" x14ac:dyDescent="0.7">
      <c r="A18" s="27" t="s">
        <v>57</v>
      </c>
      <c r="B18" s="1">
        <f>B16*(1+B17)^B5</f>
        <v>1437934.9158598154</v>
      </c>
    </row>
    <row r="19" spans="1:3" ht="93" customHeight="1" x14ac:dyDescent="0.7">
      <c r="A19" s="36" t="s">
        <v>59</v>
      </c>
      <c r="B19" s="37">
        <f>B16/(B8+B11)</f>
        <v>0.08</v>
      </c>
      <c r="C19" s="27" t="s">
        <v>70</v>
      </c>
    </row>
    <row r="20" spans="1:3" ht="93" x14ac:dyDescent="0.7">
      <c r="A20" s="36" t="s">
        <v>60</v>
      </c>
      <c r="B20" s="37">
        <f>B18/(B10+B15)</f>
        <v>2.9204311588480945E-2</v>
      </c>
      <c r="C20" s="35" t="s">
        <v>58</v>
      </c>
    </row>
    <row r="22" spans="1:3" x14ac:dyDescent="0.7">
      <c r="A22" s="5" t="s">
        <v>61</v>
      </c>
      <c r="B22" s="2"/>
      <c r="C22" s="2" t="s">
        <v>62</v>
      </c>
    </row>
    <row r="23" spans="1:3" x14ac:dyDescent="0.7">
      <c r="A23" s="5" t="s">
        <v>63</v>
      </c>
      <c r="B23" s="2"/>
      <c r="C23" s="2" t="s">
        <v>64</v>
      </c>
    </row>
    <row r="24" spans="1:3" ht="93" x14ac:dyDescent="0.7">
      <c r="A24" s="5" t="s">
        <v>65</v>
      </c>
      <c r="B24" s="2"/>
      <c r="C24" s="5" t="s">
        <v>71</v>
      </c>
    </row>
    <row r="25" spans="1:3" ht="93" x14ac:dyDescent="0.7">
      <c r="A25" s="5" t="s">
        <v>68</v>
      </c>
      <c r="B25" s="2"/>
      <c r="C25" s="5"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NPS vs UPS Freefincal.com</vt:lpstr>
      <vt:lpstr>Withdrawal Rate Calculation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Pattabiraman M</dc:creator>
  <cp:lastModifiedBy>Pattabiraman M</cp:lastModifiedBy>
  <dcterms:created xsi:type="dcterms:W3CDTF">2024-08-25T16:15:57Z</dcterms:created>
  <dcterms:modified xsi:type="dcterms:W3CDTF">2025-01-26T15:29:43Z</dcterms:modified>
</cp:coreProperties>
</file>