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418e9942066649/freefincal-lenovo/"/>
    </mc:Choice>
  </mc:AlternateContent>
  <xr:revisionPtr revIDLastSave="310" documentId="13_ncr:1_{054BF51A-9CC4-4E9F-9D71-9ACE4F57FE18}" xr6:coauthVersionLast="47" xr6:coauthVersionMax="47" xr10:uidLastSave="{CB788E88-2199-4A04-A1C6-6090E1AAB720}"/>
  <bookViews>
    <workbookView xWindow="-110" yWindow="-110" windowWidth="25820" windowHeight="13900" xr2:uid="{41F1F048-C2A6-4CFF-8ED1-8A29E8B57284}"/>
  </bookViews>
  <sheets>
    <sheet name="After Budget 2025" sheetId="2" r:id="rId1"/>
    <sheet name="5Cr" sheetId="7" state="hidden" r:id="rId2"/>
    <sheet name="2Cr" sheetId="3" state="hidden" r:id="rId3"/>
    <sheet name="1Cr" sheetId="5" state="hidden" r:id="rId4"/>
    <sheet name="50L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9" i="6" l="1"/>
  <c r="D89" i="5"/>
  <c r="D89" i="3"/>
  <c r="D89" i="7"/>
  <c r="B89" i="6"/>
  <c r="C89" i="6" s="1"/>
  <c r="C89" i="5"/>
  <c r="J89" i="5" s="1"/>
  <c r="J29" i="5" s="1"/>
  <c r="B89" i="5"/>
  <c r="C89" i="3"/>
  <c r="J89" i="3" s="1"/>
  <c r="J29" i="3" s="1"/>
  <c r="B89" i="3"/>
  <c r="B89" i="7"/>
  <c r="C89" i="7" s="1"/>
  <c r="J12" i="6"/>
  <c r="J9" i="6"/>
  <c r="J12" i="5"/>
  <c r="J9" i="5"/>
  <c r="J12" i="3"/>
  <c r="J9" i="3"/>
  <c r="C88" i="6"/>
  <c r="C87" i="6"/>
  <c r="C86" i="6"/>
  <c r="C85" i="6"/>
  <c r="C84" i="6"/>
  <c r="C83" i="6"/>
  <c r="C88" i="5"/>
  <c r="C87" i="5"/>
  <c r="C86" i="5"/>
  <c r="C85" i="5"/>
  <c r="C84" i="5"/>
  <c r="C83" i="5"/>
  <c r="C88" i="3"/>
  <c r="C87" i="3"/>
  <c r="C86" i="3"/>
  <c r="C85" i="3"/>
  <c r="C84" i="3"/>
  <c r="C83" i="3"/>
  <c r="H32" i="7"/>
  <c r="H33" i="7" s="1"/>
  <c r="H34" i="7" s="1"/>
  <c r="F32" i="7"/>
  <c r="F33" i="7" s="1"/>
  <c r="F34" i="7" s="1"/>
  <c r="F35" i="7" s="1"/>
  <c r="E32" i="7"/>
  <c r="E33" i="7" s="1"/>
  <c r="H31" i="7"/>
  <c r="E31" i="7"/>
  <c r="C88" i="7"/>
  <c r="C87" i="7"/>
  <c r="C86" i="7"/>
  <c r="C85" i="7"/>
  <c r="C84" i="7"/>
  <c r="C83" i="7"/>
  <c r="J12" i="7"/>
  <c r="J9" i="7"/>
  <c r="C88" i="2"/>
  <c r="C87" i="2"/>
  <c r="C86" i="2"/>
  <c r="C85" i="2"/>
  <c r="C84" i="2"/>
  <c r="C83" i="2"/>
  <c r="J12" i="2"/>
  <c r="J10" i="2"/>
  <c r="J19" i="2" s="1"/>
  <c r="J9" i="2"/>
  <c r="E5" i="6"/>
  <c r="I10" i="6" s="1"/>
  <c r="I19" i="6" s="1"/>
  <c r="I20" i="6" s="1"/>
  <c r="E5" i="5"/>
  <c r="I10" i="5" s="1"/>
  <c r="I19" i="5" s="1"/>
  <c r="I20" i="5" s="1"/>
  <c r="E5" i="3"/>
  <c r="I10" i="3" s="1"/>
  <c r="I19" i="3" s="1"/>
  <c r="I20" i="3" s="1"/>
  <c r="E5" i="7"/>
  <c r="I10" i="7" s="1"/>
  <c r="I19" i="7" s="1"/>
  <c r="I20" i="7" s="1"/>
  <c r="I12" i="6"/>
  <c r="I9" i="6"/>
  <c r="I12" i="5"/>
  <c r="I9" i="5"/>
  <c r="I12" i="3"/>
  <c r="I9" i="3"/>
  <c r="I12" i="7"/>
  <c r="I9" i="7"/>
  <c r="C77" i="6"/>
  <c r="C76" i="6"/>
  <c r="C75" i="6"/>
  <c r="C74" i="6"/>
  <c r="C73" i="6"/>
  <c r="C77" i="5"/>
  <c r="C76" i="5"/>
  <c r="C75" i="5"/>
  <c r="C74" i="5"/>
  <c r="C73" i="5"/>
  <c r="C77" i="3"/>
  <c r="C76" i="3"/>
  <c r="C75" i="3"/>
  <c r="C74" i="3"/>
  <c r="C73" i="3"/>
  <c r="C77" i="7"/>
  <c r="C76" i="7"/>
  <c r="C75" i="7"/>
  <c r="C74" i="7"/>
  <c r="C73" i="7"/>
  <c r="I12" i="2"/>
  <c r="I10" i="2"/>
  <c r="C77" i="2"/>
  <c r="C76" i="2"/>
  <c r="C75" i="2"/>
  <c r="C74" i="2"/>
  <c r="C73" i="2"/>
  <c r="H32" i="6"/>
  <c r="H32" i="5"/>
  <c r="H32" i="3"/>
  <c r="H12" i="7"/>
  <c r="F12" i="7"/>
  <c r="F19" i="7" s="1"/>
  <c r="H12" i="3"/>
  <c r="F12" i="3"/>
  <c r="H12" i="6"/>
  <c r="F12" i="6"/>
  <c r="H12" i="5"/>
  <c r="H19" i="5" s="1"/>
  <c r="F12" i="5"/>
  <c r="H12" i="2"/>
  <c r="F12" i="2"/>
  <c r="F19" i="2" s="1"/>
  <c r="E20" i="7"/>
  <c r="C49" i="7" s="1"/>
  <c r="E22" i="7" s="1"/>
  <c r="H19" i="7"/>
  <c r="F9" i="7"/>
  <c r="F20" i="7" s="1"/>
  <c r="E20" i="6"/>
  <c r="F19" i="6"/>
  <c r="H19" i="6"/>
  <c r="F9" i="6"/>
  <c r="F20" i="6" s="1"/>
  <c r="C49" i="5"/>
  <c r="E22" i="5" s="1"/>
  <c r="E20" i="5"/>
  <c r="F19" i="5"/>
  <c r="F9" i="5"/>
  <c r="F20" i="5" s="1"/>
  <c r="F19" i="3"/>
  <c r="H19" i="3"/>
  <c r="E20" i="3"/>
  <c r="F9" i="3"/>
  <c r="F20" i="3" s="1"/>
  <c r="J89" i="6" l="1"/>
  <c r="J29" i="6" s="1"/>
  <c r="J89" i="7"/>
  <c r="J29" i="7" s="1"/>
  <c r="J10" i="5"/>
  <c r="J19" i="5" s="1"/>
  <c r="J20" i="5" s="1"/>
  <c r="J10" i="3"/>
  <c r="J19" i="3" s="1"/>
  <c r="J20" i="3" s="1"/>
  <c r="J10" i="7"/>
  <c r="J19" i="7" s="1"/>
  <c r="J20" i="7" s="1"/>
  <c r="I31" i="7"/>
  <c r="J10" i="6"/>
  <c r="J19" i="6" s="1"/>
  <c r="J20" i="6" s="1"/>
  <c r="J31" i="6" s="1"/>
  <c r="D83" i="6"/>
  <c r="J31" i="5"/>
  <c r="D83" i="5"/>
  <c r="J83" i="5" s="1"/>
  <c r="J23" i="5" s="1"/>
  <c r="D83" i="3"/>
  <c r="J83" i="3" s="1"/>
  <c r="J23" i="3" s="1"/>
  <c r="J31" i="3"/>
  <c r="D84" i="6"/>
  <c r="J84" i="6" s="1"/>
  <c r="J24" i="6" s="1"/>
  <c r="J83" i="6"/>
  <c r="J23" i="6" s="1"/>
  <c r="E34" i="7"/>
  <c r="E35" i="7" s="1"/>
  <c r="H35" i="7"/>
  <c r="J20" i="2"/>
  <c r="I19" i="2"/>
  <c r="I31" i="6"/>
  <c r="B78" i="6"/>
  <c r="C78" i="6" s="1"/>
  <c r="D73" i="6"/>
  <c r="J73" i="6" s="1"/>
  <c r="I23" i="6" s="1"/>
  <c r="I31" i="5"/>
  <c r="D73" i="5"/>
  <c r="J73" i="5" s="1"/>
  <c r="I23" i="5" s="1"/>
  <c r="B78" i="5"/>
  <c r="C78" i="5" s="1"/>
  <c r="D73" i="3"/>
  <c r="D74" i="3" s="1"/>
  <c r="J74" i="3" s="1"/>
  <c r="I24" i="3" s="1"/>
  <c r="I31" i="3"/>
  <c r="B78" i="3"/>
  <c r="C78" i="3" s="1"/>
  <c r="B78" i="7"/>
  <c r="C78" i="7" s="1"/>
  <c r="D73" i="7"/>
  <c r="J73" i="7" s="1"/>
  <c r="I23" i="7" s="1"/>
  <c r="C50" i="7"/>
  <c r="E23" i="7" s="1"/>
  <c r="D49" i="7"/>
  <c r="H9" i="7"/>
  <c r="H20" i="7" s="1"/>
  <c r="H9" i="6"/>
  <c r="H20" i="6"/>
  <c r="G49" i="6" s="1"/>
  <c r="H23" i="6" s="1"/>
  <c r="D49" i="6"/>
  <c r="C49" i="6"/>
  <c r="C50" i="6" s="1"/>
  <c r="E31" i="6"/>
  <c r="H9" i="5"/>
  <c r="H20" i="5"/>
  <c r="H31" i="5" s="1"/>
  <c r="D49" i="5"/>
  <c r="D50" i="5" s="1"/>
  <c r="C50" i="5"/>
  <c r="E31" i="5"/>
  <c r="H9" i="3"/>
  <c r="H20" i="3" s="1"/>
  <c r="E31" i="3"/>
  <c r="C49" i="3"/>
  <c r="D49" i="3"/>
  <c r="D50" i="3" s="1"/>
  <c r="D83" i="2" l="1"/>
  <c r="D84" i="3"/>
  <c r="J84" i="3" s="1"/>
  <c r="J24" i="3" s="1"/>
  <c r="D85" i="3"/>
  <c r="J85" i="3" s="1"/>
  <c r="J25" i="3" s="1"/>
  <c r="J31" i="7"/>
  <c r="D83" i="7"/>
  <c r="J83" i="7" s="1"/>
  <c r="J23" i="7" s="1"/>
  <c r="D85" i="6"/>
  <c r="J85" i="6" s="1"/>
  <c r="J25" i="6" s="1"/>
  <c r="D84" i="5"/>
  <c r="D86" i="3"/>
  <c r="J86" i="3" s="1"/>
  <c r="J36" i="2"/>
  <c r="B89" i="2"/>
  <c r="C89" i="2" s="1"/>
  <c r="D74" i="6"/>
  <c r="J74" i="6" s="1"/>
  <c r="I24" i="6" s="1"/>
  <c r="D74" i="5"/>
  <c r="J74" i="5" s="1"/>
  <c r="I24" i="5" s="1"/>
  <c r="J73" i="3"/>
  <c r="I23" i="3" s="1"/>
  <c r="D74" i="7"/>
  <c r="J74" i="7" s="1"/>
  <c r="I24" i="7" s="1"/>
  <c r="D75" i="3"/>
  <c r="J75" i="3" s="1"/>
  <c r="I25" i="3" s="1"/>
  <c r="H31" i="6"/>
  <c r="C51" i="7"/>
  <c r="E24" i="7" s="1"/>
  <c r="G49" i="7"/>
  <c r="H23" i="7" s="1"/>
  <c r="F22" i="7"/>
  <c r="D50" i="7"/>
  <c r="C51" i="6"/>
  <c r="E24" i="6" s="1"/>
  <c r="E23" i="6"/>
  <c r="F22" i="6"/>
  <c r="D50" i="6"/>
  <c r="E22" i="6"/>
  <c r="G50" i="6"/>
  <c r="G49" i="5"/>
  <c r="H23" i="5" s="1"/>
  <c r="F23" i="5"/>
  <c r="D51" i="5"/>
  <c r="F24" i="5" s="1"/>
  <c r="C51" i="5"/>
  <c r="E23" i="5"/>
  <c r="F22" i="5"/>
  <c r="H31" i="3"/>
  <c r="G49" i="3"/>
  <c r="H23" i="3" s="1"/>
  <c r="F23" i="3"/>
  <c r="D51" i="3"/>
  <c r="F24" i="3" s="1"/>
  <c r="E22" i="3"/>
  <c r="F22" i="3"/>
  <c r="C50" i="3"/>
  <c r="D84" i="2" l="1"/>
  <c r="D75" i="5"/>
  <c r="D84" i="7"/>
  <c r="D86" i="6"/>
  <c r="J86" i="6" s="1"/>
  <c r="J26" i="6" s="1"/>
  <c r="D85" i="5"/>
  <c r="J84" i="5"/>
  <c r="D86" i="5"/>
  <c r="J86" i="5" s="1"/>
  <c r="J26" i="5" s="1"/>
  <c r="J26" i="3"/>
  <c r="D87" i="3"/>
  <c r="J87" i="3" s="1"/>
  <c r="J27" i="3" s="1"/>
  <c r="D75" i="6"/>
  <c r="J75" i="6" s="1"/>
  <c r="I25" i="6" s="1"/>
  <c r="D75" i="7"/>
  <c r="J75" i="7" s="1"/>
  <c r="I25" i="7" s="1"/>
  <c r="J75" i="5"/>
  <c r="I25" i="5" s="1"/>
  <c r="D76" i="5"/>
  <c r="J76" i="5" s="1"/>
  <c r="I26" i="5" s="1"/>
  <c r="D76" i="3"/>
  <c r="J76" i="3" s="1"/>
  <c r="I26" i="3" s="1"/>
  <c r="G50" i="5"/>
  <c r="H24" i="5" s="1"/>
  <c r="G50" i="3"/>
  <c r="H24" i="3" s="1"/>
  <c r="C52" i="7"/>
  <c r="E25" i="7" s="1"/>
  <c r="F23" i="7"/>
  <c r="D51" i="7"/>
  <c r="F24" i="7" s="1"/>
  <c r="G50" i="7"/>
  <c r="C52" i="6"/>
  <c r="H24" i="6"/>
  <c r="G51" i="6"/>
  <c r="H25" i="6" s="1"/>
  <c r="F23" i="6"/>
  <c r="D51" i="6"/>
  <c r="D52" i="5"/>
  <c r="F25" i="5" s="1"/>
  <c r="E24" i="5"/>
  <c r="C52" i="5"/>
  <c r="E23" i="3"/>
  <c r="C51" i="3"/>
  <c r="D52" i="3"/>
  <c r="F25" i="3" s="1"/>
  <c r="D85" i="2" l="1"/>
  <c r="J84" i="7"/>
  <c r="J24" i="7" s="1"/>
  <c r="D85" i="7"/>
  <c r="D87" i="6"/>
  <c r="J87" i="6" s="1"/>
  <c r="J27" i="6" s="1"/>
  <c r="J24" i="5"/>
  <c r="D87" i="5"/>
  <c r="J87" i="5" s="1"/>
  <c r="J27" i="5" s="1"/>
  <c r="J85" i="5"/>
  <c r="J25" i="5" s="1"/>
  <c r="D88" i="5"/>
  <c r="J88" i="5" s="1"/>
  <c r="J28" i="5" s="1"/>
  <c r="D88" i="3"/>
  <c r="J88" i="3" s="1"/>
  <c r="D76" i="6"/>
  <c r="J76" i="6" s="1"/>
  <c r="I26" i="6" s="1"/>
  <c r="D76" i="7"/>
  <c r="J76" i="7" s="1"/>
  <c r="I26" i="7" s="1"/>
  <c r="D77" i="5"/>
  <c r="J77" i="5" s="1"/>
  <c r="I27" i="5" s="1"/>
  <c r="D77" i="3"/>
  <c r="G52" i="6"/>
  <c r="H26" i="6" s="1"/>
  <c r="G51" i="5"/>
  <c r="H25" i="5" s="1"/>
  <c r="G51" i="3"/>
  <c r="H25" i="3" s="1"/>
  <c r="C53" i="7"/>
  <c r="E26" i="7" s="1"/>
  <c r="D52" i="7"/>
  <c r="D53" i="7" s="1"/>
  <c r="F26" i="7" s="1"/>
  <c r="H24" i="7"/>
  <c r="G51" i="7"/>
  <c r="H25" i="7" s="1"/>
  <c r="E25" i="6"/>
  <c r="D52" i="6"/>
  <c r="F24" i="6"/>
  <c r="C53" i="6"/>
  <c r="E26" i="6" s="1"/>
  <c r="D53" i="5"/>
  <c r="F26" i="5" s="1"/>
  <c r="E25" i="5"/>
  <c r="C53" i="5"/>
  <c r="E26" i="5" s="1"/>
  <c r="D53" i="3"/>
  <c r="F26" i="3" s="1"/>
  <c r="G52" i="3"/>
  <c r="H26" i="3" s="1"/>
  <c r="E24" i="3"/>
  <c r="C52" i="3"/>
  <c r="E25" i="3" s="1"/>
  <c r="D86" i="2" l="1"/>
  <c r="D87" i="2" s="1"/>
  <c r="J85" i="7"/>
  <c r="D86" i="7"/>
  <c r="D88" i="6"/>
  <c r="J88" i="6" s="1"/>
  <c r="J90" i="5"/>
  <c r="J30" i="5"/>
  <c r="J28" i="3"/>
  <c r="J30" i="3" s="1"/>
  <c r="J90" i="3"/>
  <c r="D77" i="6"/>
  <c r="J77" i="6" s="1"/>
  <c r="I27" i="6" s="1"/>
  <c r="D77" i="7"/>
  <c r="J77" i="7" s="1"/>
  <c r="I27" i="7" s="1"/>
  <c r="D78" i="5"/>
  <c r="J78" i="5" s="1"/>
  <c r="J77" i="3"/>
  <c r="I27" i="3" s="1"/>
  <c r="D78" i="3"/>
  <c r="J78" i="3" s="1"/>
  <c r="I28" i="3" s="1"/>
  <c r="I30" i="3" s="1"/>
  <c r="G53" i="6"/>
  <c r="H27" i="6" s="1"/>
  <c r="G52" i="5"/>
  <c r="H26" i="5" s="1"/>
  <c r="G52" i="7"/>
  <c r="H26" i="7" s="1"/>
  <c r="C54" i="7"/>
  <c r="D54" i="7"/>
  <c r="F27" i="7" s="1"/>
  <c r="D55" i="7"/>
  <c r="F28" i="7" s="1"/>
  <c r="F25" i="7"/>
  <c r="F30" i="7" s="1"/>
  <c r="F25" i="6"/>
  <c r="C54" i="6"/>
  <c r="D53" i="6"/>
  <c r="F26" i="6" s="1"/>
  <c r="D55" i="5"/>
  <c r="F28" i="5" s="1"/>
  <c r="F30" i="5" s="1"/>
  <c r="D54" i="5"/>
  <c r="F27" i="5" s="1"/>
  <c r="F32" i="5"/>
  <c r="F33" i="5" s="1"/>
  <c r="F34" i="5" s="1"/>
  <c r="C54" i="5"/>
  <c r="E27" i="5" s="1"/>
  <c r="D54" i="3"/>
  <c r="F27" i="3" s="1"/>
  <c r="G53" i="3"/>
  <c r="H27" i="3" s="1"/>
  <c r="D55" i="3"/>
  <c r="F28" i="3" s="1"/>
  <c r="F30" i="3" s="1"/>
  <c r="C53" i="3"/>
  <c r="D88" i="2" l="1"/>
  <c r="D78" i="6"/>
  <c r="J78" i="6" s="1"/>
  <c r="J86" i="7"/>
  <c r="J26" i="7" s="1"/>
  <c r="D87" i="7"/>
  <c r="J87" i="7" s="1"/>
  <c r="J27" i="7" s="1"/>
  <c r="J25" i="7"/>
  <c r="J90" i="6"/>
  <c r="J28" i="6"/>
  <c r="J30" i="6" s="1"/>
  <c r="J32" i="5"/>
  <c r="J33" i="5" s="1"/>
  <c r="J34" i="5" s="1"/>
  <c r="J35" i="5" s="1"/>
  <c r="J32" i="3"/>
  <c r="J33" i="3" s="1"/>
  <c r="J34" i="3" s="1"/>
  <c r="J35" i="3" s="1"/>
  <c r="D78" i="7"/>
  <c r="J78" i="7" s="1"/>
  <c r="I28" i="7" s="1"/>
  <c r="I30" i="7" s="1"/>
  <c r="J79" i="6"/>
  <c r="I28" i="6"/>
  <c r="I30" i="6" s="1"/>
  <c r="J79" i="5"/>
  <c r="I28" i="5"/>
  <c r="I30" i="5" s="1"/>
  <c r="I32" i="3"/>
  <c r="I33" i="3" s="1"/>
  <c r="I34" i="3" s="1"/>
  <c r="I35" i="3" s="1"/>
  <c r="J79" i="3"/>
  <c r="G54" i="6"/>
  <c r="H28" i="6" s="1"/>
  <c r="H30" i="6" s="1"/>
  <c r="G53" i="5"/>
  <c r="H27" i="5" s="1"/>
  <c r="G53" i="7"/>
  <c r="H27" i="7" s="1"/>
  <c r="C55" i="7"/>
  <c r="E28" i="7" s="1"/>
  <c r="E27" i="7"/>
  <c r="D56" i="7"/>
  <c r="E27" i="6"/>
  <c r="C55" i="6"/>
  <c r="D54" i="6"/>
  <c r="F27" i="6" s="1"/>
  <c r="C55" i="5"/>
  <c r="E28" i="5" s="1"/>
  <c r="E30" i="5" s="1"/>
  <c r="F35" i="5"/>
  <c r="D56" i="5"/>
  <c r="E32" i="5"/>
  <c r="E33" i="5" s="1"/>
  <c r="E34" i="5" s="1"/>
  <c r="E35" i="5" s="1"/>
  <c r="G54" i="3"/>
  <c r="H28" i="3" s="1"/>
  <c r="H30" i="3" s="1"/>
  <c r="F32" i="3"/>
  <c r="F33" i="3" s="1"/>
  <c r="F34" i="3" s="1"/>
  <c r="F35" i="3" s="1"/>
  <c r="D56" i="3"/>
  <c r="E26" i="3"/>
  <c r="C54" i="3"/>
  <c r="E27" i="3" s="1"/>
  <c r="I32" i="7" l="1"/>
  <c r="I33" i="7" s="1"/>
  <c r="I34" i="7" s="1"/>
  <c r="I35" i="7"/>
  <c r="D88" i="7"/>
  <c r="J88" i="7" s="1"/>
  <c r="J28" i="7" s="1"/>
  <c r="J30" i="7" s="1"/>
  <c r="J32" i="7" s="1"/>
  <c r="J33" i="7" s="1"/>
  <c r="J32" i="6"/>
  <c r="J33" i="6" s="1"/>
  <c r="J34" i="6" s="1"/>
  <c r="J35" i="6" s="1"/>
  <c r="J79" i="7"/>
  <c r="I32" i="6"/>
  <c r="I33" i="6" s="1"/>
  <c r="I32" i="5"/>
  <c r="I33" i="5" s="1"/>
  <c r="I34" i="5" s="1"/>
  <c r="I35" i="5" s="1"/>
  <c r="H33" i="6"/>
  <c r="H34" i="6" s="1"/>
  <c r="H35" i="6" s="1"/>
  <c r="G54" i="5"/>
  <c r="H28" i="5" s="1"/>
  <c r="H30" i="5" s="1"/>
  <c r="H33" i="3"/>
  <c r="H34" i="3" s="1"/>
  <c r="H35" i="3" s="1"/>
  <c r="G54" i="7"/>
  <c r="H28" i="7" s="1"/>
  <c r="H30" i="7" s="1"/>
  <c r="C56" i="7"/>
  <c r="E30" i="7"/>
  <c r="E28" i="6"/>
  <c r="C56" i="6"/>
  <c r="E30" i="6"/>
  <c r="D55" i="6"/>
  <c r="F28" i="6" s="1"/>
  <c r="F30" i="6" s="1"/>
  <c r="C56" i="5"/>
  <c r="C55" i="3"/>
  <c r="J34" i="7" l="1"/>
  <c r="J35" i="7" s="1"/>
  <c r="J34" i="2"/>
  <c r="J90" i="7"/>
  <c r="I34" i="6"/>
  <c r="I35" i="6" s="1"/>
  <c r="H35" i="5"/>
  <c r="H33" i="5"/>
  <c r="H34" i="5" s="1"/>
  <c r="E32" i="6"/>
  <c r="E33" i="6" s="1"/>
  <c r="E34" i="6" s="1"/>
  <c r="E35" i="6" s="1"/>
  <c r="F32" i="6"/>
  <c r="F33" i="6" s="1"/>
  <c r="F34" i="6" s="1"/>
  <c r="F35" i="6" s="1"/>
  <c r="D56" i="6"/>
  <c r="E28" i="3"/>
  <c r="E30" i="3" s="1"/>
  <c r="C56" i="3"/>
  <c r="E32" i="3" l="1"/>
  <c r="E33" i="3" s="1"/>
  <c r="E34" i="3" s="1"/>
  <c r="E35" i="3" s="1"/>
  <c r="H10" i="2" l="1"/>
  <c r="H19" i="2" s="1"/>
  <c r="E10" i="2"/>
  <c r="E19" i="2" s="1"/>
  <c r="F9" i="2"/>
  <c r="F20" i="2" s="1"/>
  <c r="E20" i="2" l="1"/>
  <c r="E34" i="2" s="1"/>
  <c r="F34" i="2"/>
  <c r="H9" i="2"/>
  <c r="H20" i="2" l="1"/>
  <c r="H34" i="2" s="1"/>
  <c r="I9" i="2"/>
  <c r="I20" i="2" s="1"/>
  <c r="F36" i="2"/>
  <c r="E36" i="2"/>
  <c r="C54" i="2"/>
  <c r="C55" i="2" s="1"/>
  <c r="E23" i="2" s="1"/>
  <c r="D54" i="2"/>
  <c r="D55" i="2" s="1"/>
  <c r="D56" i="2" s="1"/>
  <c r="F24" i="2" s="1"/>
  <c r="J83" i="2" l="1"/>
  <c r="B78" i="2"/>
  <c r="C78" i="2" s="1"/>
  <c r="D73" i="2"/>
  <c r="J73" i="2" s="1"/>
  <c r="I36" i="2"/>
  <c r="I34" i="2"/>
  <c r="H36" i="2"/>
  <c r="G54" i="2"/>
  <c r="G55" i="2" s="1"/>
  <c r="G56" i="2" s="1"/>
  <c r="E22" i="2"/>
  <c r="C56" i="2"/>
  <c r="E24" i="2" s="1"/>
  <c r="F23" i="2"/>
  <c r="F22" i="2"/>
  <c r="D57" i="2"/>
  <c r="D58" i="2" s="1"/>
  <c r="F26" i="2" s="1"/>
  <c r="J23" i="2" l="1"/>
  <c r="D74" i="2"/>
  <c r="J74" i="2" s="1"/>
  <c r="I24" i="2" s="1"/>
  <c r="I23" i="2"/>
  <c r="H23" i="2"/>
  <c r="C57" i="2"/>
  <c r="E25" i="2" s="1"/>
  <c r="H24" i="2"/>
  <c r="G57" i="2"/>
  <c r="G58" i="2" s="1"/>
  <c r="D59" i="2"/>
  <c r="F27" i="2" s="1"/>
  <c r="F25" i="2"/>
  <c r="J84" i="2" l="1"/>
  <c r="J85" i="2"/>
  <c r="J25" i="2" s="1"/>
  <c r="D75" i="2"/>
  <c r="J75" i="2" s="1"/>
  <c r="I25" i="2" s="1"/>
  <c r="C58" i="2"/>
  <c r="C59" i="2" s="1"/>
  <c r="E27" i="2" s="1"/>
  <c r="G59" i="2"/>
  <c r="H26" i="2"/>
  <c r="H25" i="2"/>
  <c r="D60" i="2"/>
  <c r="F28" i="2" s="1"/>
  <c r="F30" i="2" s="1"/>
  <c r="J24" i="2" l="1"/>
  <c r="D76" i="2"/>
  <c r="J76" i="2" s="1"/>
  <c r="I26" i="2" s="1"/>
  <c r="F32" i="2"/>
  <c r="C60" i="2"/>
  <c r="E28" i="2" s="1"/>
  <c r="E26" i="2"/>
  <c r="D61" i="2"/>
  <c r="J86" i="2" l="1"/>
  <c r="D77" i="2"/>
  <c r="F33" i="2"/>
  <c r="F35" i="2" s="1"/>
  <c r="F37" i="2" s="1"/>
  <c r="E30" i="2"/>
  <c r="C61" i="2"/>
  <c r="E31" i="2"/>
  <c r="H28" i="2"/>
  <c r="H27" i="2"/>
  <c r="J26" i="2" l="1"/>
  <c r="J88" i="2"/>
  <c r="J28" i="2" s="1"/>
  <c r="J87" i="2"/>
  <c r="J27" i="2" s="1"/>
  <c r="J77" i="2"/>
  <c r="D78" i="2"/>
  <c r="J78" i="2" s="1"/>
  <c r="I28" i="2" s="1"/>
  <c r="F38" i="2"/>
  <c r="F39" i="2" s="1"/>
  <c r="F40" i="2" s="1"/>
  <c r="E32" i="2"/>
  <c r="H30" i="2"/>
  <c r="D89" i="2" l="1"/>
  <c r="J89" i="2"/>
  <c r="J29" i="2" s="1"/>
  <c r="J30" i="2" s="1"/>
  <c r="I27" i="2"/>
  <c r="I30" i="2" s="1"/>
  <c r="J79" i="2"/>
  <c r="E33" i="2"/>
  <c r="E35" i="2"/>
  <c r="E37" i="2" s="1"/>
  <c r="E38" i="2" s="1"/>
  <c r="E39" i="2" s="1"/>
  <c r="E40" i="2" s="1"/>
  <c r="H32" i="2"/>
  <c r="H31" i="2"/>
  <c r="J90" i="2" l="1"/>
  <c r="J31" i="2"/>
  <c r="J32" i="2"/>
  <c r="I32" i="2"/>
  <c r="I33" i="2" s="1"/>
  <c r="I31" i="2"/>
  <c r="F41" i="2"/>
  <c r="H33" i="2"/>
  <c r="H35" i="2" s="1"/>
  <c r="H37" i="2" s="1"/>
  <c r="I35" i="2" l="1"/>
  <c r="I37" i="2" s="1"/>
  <c r="I38" i="2" s="1"/>
  <c r="J33" i="2"/>
  <c r="J35" i="2" s="1"/>
  <c r="J37" i="2" s="1"/>
  <c r="J38" i="2" s="1"/>
  <c r="J39" i="2" s="1"/>
  <c r="J40" i="2" s="1"/>
  <c r="J41" i="2" s="1"/>
  <c r="I39" i="2"/>
  <c r="I40" i="2" s="1"/>
  <c r="I41" i="2" s="1"/>
  <c r="H38" i="2"/>
  <c r="H39" i="2" s="1"/>
  <c r="H40" i="2" s="1"/>
  <c r="H41" i="2" s="1"/>
  <c r="J42" i="2" l="1"/>
</calcChain>
</file>

<file path=xl/sharedStrings.xml><?xml version="1.0" encoding="utf-8"?>
<sst xmlns="http://schemas.openxmlformats.org/spreadsheetml/2006/main" count="378" uniqueCount="65">
  <si>
    <t>Gross Income</t>
  </si>
  <si>
    <t>Deductions</t>
  </si>
  <si>
    <t>Standard Deduction</t>
  </si>
  <si>
    <t>80C</t>
  </si>
  <si>
    <t>80D</t>
  </si>
  <si>
    <t>HRA</t>
  </si>
  <si>
    <t>Net Taxable Income</t>
  </si>
  <si>
    <t>Old</t>
  </si>
  <si>
    <t>Upto 2.5</t>
  </si>
  <si>
    <t>2.5 to 5</t>
  </si>
  <si>
    <t>5 to 7.5</t>
  </si>
  <si>
    <t>7.5 to 10</t>
  </si>
  <si>
    <t>10 to 12.5</t>
  </si>
  <si>
    <t>12.5 to 15</t>
  </si>
  <si>
    <t>15+</t>
  </si>
  <si>
    <t>Total</t>
  </si>
  <si>
    <t>Tax Payable</t>
  </si>
  <si>
    <t xml:space="preserve">Old </t>
  </si>
  <si>
    <t>Total Deductions</t>
  </si>
  <si>
    <t>Input numbers in the black colored cells.</t>
  </si>
  <si>
    <t>Upto 3</t>
  </si>
  <si>
    <t>3 to 6</t>
  </si>
  <si>
    <t>6 to 9</t>
  </si>
  <si>
    <t>9 to 12</t>
  </si>
  <si>
    <t>12 to 15</t>
  </si>
  <si>
    <t>New (Budget 2023)</t>
  </si>
  <si>
    <t>New up to March 31st 2023</t>
  </si>
  <si>
    <t>New from April 1st 2023</t>
  </si>
  <si>
    <t>NTR up to March 31st 2023</t>
  </si>
  <si>
    <t>OTR</t>
  </si>
  <si>
    <t>NTR from April 1st 2023</t>
  </si>
  <si>
    <t>Total tax payable</t>
  </si>
  <si>
    <t>Tax Rebate</t>
  </si>
  <si>
    <t>Total tax</t>
  </si>
  <si>
    <t>Enter Y or N</t>
  </si>
  <si>
    <t>Cess</t>
  </si>
  <si>
    <t>Are you salaried?</t>
  </si>
  <si>
    <t>Surcharge</t>
  </si>
  <si>
    <t>80CCD(1B)</t>
  </si>
  <si>
    <t>80TTA</t>
  </si>
  <si>
    <t>Professional Tax</t>
  </si>
  <si>
    <t>80CCD(2)</t>
  </si>
  <si>
    <t>Others</t>
  </si>
  <si>
    <t>Marginal Relief</t>
  </si>
  <si>
    <t>Tax+Surcharge</t>
  </si>
  <si>
    <t>Tax on Thresholds of 50L/1cr/2cr/5cr</t>
  </si>
  <si>
    <t>Excess Tax Payable</t>
  </si>
  <si>
    <t>Excess of Total Income over 50L/1cr/2cr/5cr</t>
  </si>
  <si>
    <t>Tax after Marginal Relief</t>
  </si>
  <si>
    <t>New-Old</t>
  </si>
  <si>
    <t>Do Not EDIT Other tabs</t>
  </si>
  <si>
    <t>Budget 2024</t>
  </si>
  <si>
    <t>NTR from April 1st 2024</t>
  </si>
  <si>
    <t>Enter deductions in negative numbers</t>
  </si>
  <si>
    <t>N</t>
  </si>
  <si>
    <t>NTR from April 1st 2025</t>
  </si>
  <si>
    <t>Budget 2025</t>
  </si>
  <si>
    <t>Extra benefit in NTR from 1st April 2025</t>
  </si>
  <si>
    <t>up to 4L</t>
  </si>
  <si>
    <t>4 to 8L</t>
  </si>
  <si>
    <t>8L to 12L</t>
  </si>
  <si>
    <t>12L to 16L</t>
  </si>
  <si>
    <t>16L to 20L</t>
  </si>
  <si>
    <t>20L to 24L</t>
  </si>
  <si>
    <t>&gt;24L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</si>
</sst>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_ ;[Red]\-#,##0\ 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0" fillId="2" borderId="2" xfId="0" applyFill="1" applyBorder="1"/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5" xfId="0" applyFill="1" applyBorder="1"/>
    <xf numFmtId="164" fontId="0" fillId="0" borderId="6" xfId="0" applyNumberFormat="1" applyBorder="1" applyAlignment="1">
      <alignment horizontal="center"/>
    </xf>
    <xf numFmtId="0" fontId="0" fillId="2" borderId="7" xfId="0" applyFill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0" fillId="0" borderId="1" xfId="0" applyBorder="1" applyAlignment="1">
      <alignment horizontal="center"/>
    </xf>
    <xf numFmtId="0" fontId="0" fillId="0" borderId="10" xfId="0" applyBorder="1"/>
    <xf numFmtId="164" fontId="3" fillId="3" borderId="10" xfId="0" applyNumberFormat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/>
    <xf numFmtId="164" fontId="5" fillId="0" borderId="1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wrapText="1"/>
    </xf>
    <xf numFmtId="164" fontId="3" fillId="4" borderId="10" xfId="0" applyNumberFormat="1" applyFont="1" applyFill="1" applyBorder="1" applyAlignment="1">
      <alignment horizontal="center"/>
    </xf>
    <xf numFmtId="16" fontId="0" fillId="2" borderId="5" xfId="0" quotePrefix="1" applyNumberFormat="1" applyFill="1" applyBorder="1"/>
    <xf numFmtId="164" fontId="1" fillId="0" borderId="0" xfId="0" applyNumberFormat="1" applyFont="1"/>
    <xf numFmtId="164" fontId="2" fillId="0" borderId="0" xfId="0" applyNumberFormat="1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2" xfId="0" applyFill="1" applyBorder="1" applyAlignment="1">
      <alignment horizontal="center"/>
    </xf>
    <xf numFmtId="16" fontId="0" fillId="2" borderId="10" xfId="0" quotePrefix="1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0" fontId="8" fillId="0" borderId="0" xfId="0" applyFont="1"/>
    <xf numFmtId="0" fontId="7" fillId="3" borderId="0" xfId="0" applyFont="1" applyFill="1" applyAlignment="1">
      <alignment horizontal="center"/>
    </xf>
    <xf numFmtId="164" fontId="8" fillId="0" borderId="0" xfId="0" applyNumberFormat="1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10" xfId="0" applyFont="1" applyBorder="1"/>
    <xf numFmtId="0" fontId="9" fillId="0" borderId="12" xfId="0" applyFont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1" fillId="0" borderId="0" xfId="0" applyNumberFormat="1" applyFont="1"/>
    <xf numFmtId="164" fontId="9" fillId="0" borderId="0" xfId="0" applyNumberFormat="1" applyFont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2" borderId="12" xfId="0" applyFont="1" applyFill="1" applyBorder="1" applyAlignment="1">
      <alignment horizontal="center"/>
    </xf>
    <xf numFmtId="16" fontId="8" fillId="2" borderId="10" xfId="0" quotePrefix="1" applyNumberFormat="1" applyFont="1" applyFill="1" applyBorder="1" applyAlignment="1">
      <alignment horizontal="center"/>
    </xf>
    <xf numFmtId="0" fontId="8" fillId="0" borderId="11" xfId="0" applyFont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2" borderId="2" xfId="0" applyFont="1" applyFill="1" applyBorder="1"/>
    <xf numFmtId="164" fontId="8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9" fontId="8" fillId="0" borderId="0" xfId="0" applyNumberFormat="1" applyFont="1"/>
    <xf numFmtId="0" fontId="8" fillId="2" borderId="5" xfId="0" applyFont="1" applyFill="1" applyBorder="1"/>
    <xf numFmtId="164" fontId="8" fillId="0" borderId="6" xfId="0" applyNumberFormat="1" applyFont="1" applyBorder="1" applyAlignment="1">
      <alignment horizontal="center"/>
    </xf>
    <xf numFmtId="16" fontId="8" fillId="2" borderId="5" xfId="0" quotePrefix="1" applyNumberFormat="1" applyFont="1" applyFill="1" applyBorder="1"/>
    <xf numFmtId="0" fontId="8" fillId="2" borderId="7" xfId="0" applyFont="1" applyFill="1" applyBorder="1"/>
    <xf numFmtId="164" fontId="9" fillId="0" borderId="8" xfId="0" applyNumberFormat="1" applyFont="1" applyBorder="1"/>
    <xf numFmtId="164" fontId="9" fillId="0" borderId="9" xfId="0" applyNumberFormat="1" applyFont="1" applyBorder="1"/>
    <xf numFmtId="0" fontId="13" fillId="2" borderId="10" xfId="0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164" fontId="7" fillId="3" borderId="0" xfId="0" applyNumberFormat="1" applyFont="1" applyFill="1" applyAlignment="1">
      <alignment horizontal="center" vertical="center"/>
    </xf>
    <xf numFmtId="0" fontId="14" fillId="0" borderId="10" xfId="0" applyFont="1" applyBorder="1"/>
    <xf numFmtId="1" fontId="0" fillId="0" borderId="0" xfId="0" applyNumberFormat="1"/>
    <xf numFmtId="0" fontId="9" fillId="0" borderId="0" xfId="0" applyFont="1" applyAlignment="1">
      <alignment horizontal="center" textRotation="180"/>
    </xf>
    <xf numFmtId="0" fontId="2" fillId="0" borderId="0" xfId="0" applyFont="1" applyAlignment="1">
      <alignment horizontal="center" textRotation="18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52A9-EE4F-4BF3-B14A-1E6F29BA9456}">
  <sheetPr codeName="Sheet1"/>
  <dimension ref="A3:AM227"/>
  <sheetViews>
    <sheetView showGridLines="0" tabSelected="1" topLeftCell="A19" zoomScale="130" zoomScaleNormal="130" workbookViewId="0">
      <selection activeCell="C36" sqref="C36"/>
    </sheetView>
  </sheetViews>
  <sheetFormatPr defaultColWidth="8.90625" defaultRowHeight="13" x14ac:dyDescent="0.3"/>
  <cols>
    <col min="1" max="1" width="10.54296875" style="46" customWidth="1"/>
    <col min="2" max="2" width="9.6328125" style="46" bestFit="1" customWidth="1"/>
    <col min="3" max="3" width="30.26953125" style="46" bestFit="1" customWidth="1"/>
    <col min="4" max="4" width="31.36328125" style="46" customWidth="1"/>
    <col min="5" max="5" width="22.08984375" style="46" customWidth="1"/>
    <col min="6" max="6" width="23.6328125" style="46" hidden="1" customWidth="1"/>
    <col min="7" max="7" width="21.1796875" style="46" hidden="1" customWidth="1"/>
    <col min="8" max="8" width="20.81640625" style="46" hidden="1" customWidth="1"/>
    <col min="9" max="11" width="19.08984375" style="46" bestFit="1" customWidth="1"/>
    <col min="12" max="12" width="4.36328125" style="46" bestFit="1" customWidth="1"/>
    <col min="13" max="13" width="15.453125" style="46" bestFit="1" customWidth="1"/>
    <col min="14" max="14" width="11.453125" style="46" bestFit="1" customWidth="1"/>
    <col min="15" max="15" width="11.54296875" style="46" bestFit="1" customWidth="1"/>
    <col min="16" max="19" width="13.453125" style="46" bestFit="1" customWidth="1"/>
    <col min="20" max="23" width="13.90625" style="46" bestFit="1" customWidth="1"/>
    <col min="24" max="24" width="15" style="46" bestFit="1" customWidth="1"/>
    <col min="25" max="39" width="13.90625" style="46" bestFit="1" customWidth="1"/>
    <col min="40" max="16384" width="8.90625" style="46"/>
  </cols>
  <sheetData>
    <row r="3" spans="3:39" ht="26" x14ac:dyDescent="0.3">
      <c r="C3" s="45" t="s">
        <v>19</v>
      </c>
      <c r="D3" s="46" t="s">
        <v>50</v>
      </c>
    </row>
    <row r="5" spans="3:39" x14ac:dyDescent="0.3">
      <c r="D5" s="46" t="s">
        <v>36</v>
      </c>
      <c r="E5" s="47" t="s">
        <v>54</v>
      </c>
    </row>
    <row r="6" spans="3:39" x14ac:dyDescent="0.3">
      <c r="C6" s="48"/>
      <c r="D6" s="48" t="s">
        <v>34</v>
      </c>
      <c r="E6" s="48"/>
      <c r="F6" s="48"/>
      <c r="G6" s="48"/>
      <c r="H6" s="48"/>
      <c r="I6" s="48"/>
      <c r="J6" s="48"/>
      <c r="K6" s="48"/>
      <c r="L6" s="48"/>
      <c r="M6" s="48"/>
    </row>
    <row r="7" spans="3:39" x14ac:dyDescent="0.3">
      <c r="G7" s="49"/>
    </row>
    <row r="8" spans="3:39" x14ac:dyDescent="0.3">
      <c r="C8" s="50"/>
      <c r="D8" s="50"/>
      <c r="E8" s="51" t="s">
        <v>29</v>
      </c>
      <c r="F8" s="51" t="s">
        <v>28</v>
      </c>
      <c r="G8" s="52"/>
      <c r="H8" s="51" t="s">
        <v>30</v>
      </c>
      <c r="I8" s="51" t="s">
        <v>52</v>
      </c>
      <c r="J8" s="51" t="s">
        <v>55</v>
      </c>
      <c r="N8" s="53"/>
    </row>
    <row r="9" spans="3:39" x14ac:dyDescent="0.3">
      <c r="C9" s="54"/>
      <c r="D9" s="55" t="s">
        <v>0</v>
      </c>
      <c r="E9" s="56">
        <v>2500000</v>
      </c>
      <c r="F9" s="57">
        <f>E9</f>
        <v>2500000</v>
      </c>
      <c r="G9" s="52"/>
      <c r="H9" s="57">
        <f>F9</f>
        <v>2500000</v>
      </c>
      <c r="I9" s="57">
        <f>H9</f>
        <v>2500000</v>
      </c>
      <c r="J9" s="48">
        <f>E9</f>
        <v>2500000</v>
      </c>
      <c r="M9" s="58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</row>
    <row r="10" spans="3:39" ht="15" customHeight="1" x14ac:dyDescent="0.3">
      <c r="C10" s="54"/>
      <c r="D10" s="60" t="s">
        <v>2</v>
      </c>
      <c r="E10" s="61">
        <f>IF(E5="Y",-50000,0)</f>
        <v>0</v>
      </c>
      <c r="F10" s="61"/>
      <c r="G10" s="52"/>
      <c r="H10" s="61">
        <f>IF(E5="Y",-50000,0)</f>
        <v>0</v>
      </c>
      <c r="I10" s="52">
        <f>IF(E5="Y",-75000,0)</f>
        <v>0</v>
      </c>
      <c r="J10" s="52">
        <f>IF(E5="Y",-75000,0)</f>
        <v>0</v>
      </c>
      <c r="L10" s="97"/>
      <c r="M10" s="59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</row>
    <row r="11" spans="3:39" x14ac:dyDescent="0.3">
      <c r="C11" s="62" t="s">
        <v>1</v>
      </c>
      <c r="D11" s="63" t="s">
        <v>3</v>
      </c>
      <c r="E11" s="56">
        <v>-150000</v>
      </c>
      <c r="F11" s="64">
        <v>0</v>
      </c>
      <c r="G11" s="52"/>
      <c r="H11" s="64">
        <v>0</v>
      </c>
      <c r="I11" s="64">
        <v>0</v>
      </c>
      <c r="J11" s="64">
        <v>0</v>
      </c>
      <c r="L11" s="97"/>
      <c r="M11" s="59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</row>
    <row r="12" spans="3:39" x14ac:dyDescent="0.3">
      <c r="C12" s="95" t="s">
        <v>53</v>
      </c>
      <c r="D12" s="63" t="s">
        <v>41</v>
      </c>
      <c r="E12" s="56"/>
      <c r="F12" s="56">
        <f>E12</f>
        <v>0</v>
      </c>
      <c r="G12" s="52"/>
      <c r="H12" s="56">
        <f>E12</f>
        <v>0</v>
      </c>
      <c r="I12" s="94">
        <f>E12</f>
        <v>0</v>
      </c>
      <c r="J12" s="94">
        <f>E12</f>
        <v>0</v>
      </c>
      <c r="L12" s="97"/>
      <c r="M12" s="59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</row>
    <row r="13" spans="3:39" x14ac:dyDescent="0.3">
      <c r="C13" s="54"/>
      <c r="D13" s="63" t="s">
        <v>38</v>
      </c>
      <c r="E13" s="56"/>
      <c r="F13" s="64">
        <v>0</v>
      </c>
      <c r="G13" s="52"/>
      <c r="H13" s="64">
        <v>0</v>
      </c>
      <c r="I13" s="64">
        <v>0</v>
      </c>
      <c r="J13" s="64">
        <v>0</v>
      </c>
      <c r="L13" s="97"/>
      <c r="M13" s="5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</row>
    <row r="14" spans="3:39" x14ac:dyDescent="0.3">
      <c r="C14" s="54"/>
      <c r="D14" s="63" t="s">
        <v>4</v>
      </c>
      <c r="E14" s="56">
        <v>-50000</v>
      </c>
      <c r="F14" s="64">
        <v>0</v>
      </c>
      <c r="G14" s="52"/>
      <c r="H14" s="64">
        <v>0</v>
      </c>
      <c r="I14" s="64">
        <v>0</v>
      </c>
      <c r="J14" s="64">
        <v>0</v>
      </c>
      <c r="L14" s="97"/>
      <c r="M14" s="59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</row>
    <row r="15" spans="3:39" x14ac:dyDescent="0.3">
      <c r="C15" s="54"/>
      <c r="D15" s="63" t="s">
        <v>5</v>
      </c>
      <c r="E15" s="56"/>
      <c r="F15" s="64">
        <v>0</v>
      </c>
      <c r="G15" s="52"/>
      <c r="H15" s="64">
        <v>0</v>
      </c>
      <c r="I15" s="64">
        <v>0</v>
      </c>
      <c r="J15" s="64">
        <v>0</v>
      </c>
      <c r="L15" s="97"/>
      <c r="M15" s="5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</row>
    <row r="16" spans="3:39" x14ac:dyDescent="0.3">
      <c r="C16" s="54"/>
      <c r="D16" s="63" t="s">
        <v>39</v>
      </c>
      <c r="E16" s="56"/>
      <c r="F16" s="64">
        <v>0</v>
      </c>
      <c r="G16" s="52"/>
      <c r="H16" s="64">
        <v>0</v>
      </c>
      <c r="I16" s="64">
        <v>0</v>
      </c>
      <c r="J16" s="64">
        <v>0</v>
      </c>
      <c r="L16" s="97"/>
      <c r="M16" s="59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</row>
    <row r="17" spans="3:39" x14ac:dyDescent="0.3">
      <c r="C17" s="54"/>
      <c r="D17" s="63" t="s">
        <v>40</v>
      </c>
      <c r="E17" s="56"/>
      <c r="F17" s="64">
        <v>0</v>
      </c>
      <c r="G17" s="52"/>
      <c r="H17" s="64">
        <v>0</v>
      </c>
      <c r="I17" s="64">
        <v>0</v>
      </c>
      <c r="J17" s="64">
        <v>0</v>
      </c>
      <c r="L17" s="97"/>
      <c r="M17" s="5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</row>
    <row r="18" spans="3:39" x14ac:dyDescent="0.3">
      <c r="C18" s="54"/>
      <c r="D18" s="63" t="s">
        <v>42</v>
      </c>
      <c r="E18" s="56"/>
      <c r="F18" s="64">
        <v>0</v>
      </c>
      <c r="G18" s="52"/>
      <c r="H18" s="64">
        <v>0</v>
      </c>
      <c r="I18" s="64">
        <v>0</v>
      </c>
      <c r="J18" s="64">
        <v>0</v>
      </c>
      <c r="L18" s="97"/>
      <c r="M18" s="59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  <row r="19" spans="3:39" x14ac:dyDescent="0.3">
      <c r="C19" s="54"/>
      <c r="D19" s="63" t="s">
        <v>18</v>
      </c>
      <c r="E19" s="56">
        <f>SUM(E10:E18)</f>
        <v>-200000</v>
      </c>
      <c r="F19" s="65">
        <f>SUM(F10:F18)</f>
        <v>0</v>
      </c>
      <c r="G19" s="52"/>
      <c r="H19" s="66">
        <f>SUM(H10:H18)</f>
        <v>0</v>
      </c>
      <c r="I19" s="66">
        <f>SUM(I10:I18)</f>
        <v>0</v>
      </c>
      <c r="J19" s="66">
        <f>SUM(J10:J18)</f>
        <v>0</v>
      </c>
      <c r="L19" s="97"/>
      <c r="M19" s="5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3:39" x14ac:dyDescent="0.3">
      <c r="C20" s="54"/>
      <c r="D20" s="51" t="s">
        <v>6</v>
      </c>
      <c r="E20" s="67">
        <f>E19+E9</f>
        <v>2300000</v>
      </c>
      <c r="F20" s="68">
        <f>+F19+F9</f>
        <v>2500000</v>
      </c>
      <c r="G20" s="52"/>
      <c r="H20" s="68">
        <f>+H19+H9</f>
        <v>2500000</v>
      </c>
      <c r="I20" s="68">
        <f>+I19+I9</f>
        <v>2500000</v>
      </c>
      <c r="J20" s="68">
        <f>+J19+J9</f>
        <v>2500000</v>
      </c>
      <c r="M20" s="59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3:39" x14ac:dyDescent="0.3">
      <c r="C21" s="54"/>
      <c r="D21" s="69"/>
      <c r="E21" s="69"/>
      <c r="F21" s="69"/>
      <c r="G21" s="52"/>
      <c r="H21" s="52"/>
      <c r="I21" s="53"/>
      <c r="M21" s="5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</row>
    <row r="22" spans="3:39" x14ac:dyDescent="0.3">
      <c r="C22" s="54" t="s">
        <v>16</v>
      </c>
      <c r="D22" s="63" t="s">
        <v>8</v>
      </c>
      <c r="E22" s="64">
        <f t="shared" ref="E22:F28" si="0">C54*C64</f>
        <v>0</v>
      </c>
      <c r="F22" s="64">
        <f t="shared" si="0"/>
        <v>0</v>
      </c>
      <c r="G22" s="70" t="s">
        <v>16</v>
      </c>
      <c r="H22" s="51" t="s">
        <v>30</v>
      </c>
      <c r="I22" s="51" t="s">
        <v>52</v>
      </c>
      <c r="J22" s="51" t="s">
        <v>55</v>
      </c>
      <c r="K22" s="51" t="s">
        <v>55</v>
      </c>
      <c r="M22" s="59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 spans="3:39" x14ac:dyDescent="0.3">
      <c r="C23" s="54"/>
      <c r="D23" s="63" t="s">
        <v>9</v>
      </c>
      <c r="E23" s="64">
        <f t="shared" si="0"/>
        <v>12500</v>
      </c>
      <c r="F23" s="64">
        <f t="shared" si="0"/>
        <v>12500</v>
      </c>
      <c r="G23" s="72" t="s">
        <v>20</v>
      </c>
      <c r="H23" s="69">
        <f t="shared" ref="H23:H28" si="1">G54*H54</f>
        <v>0</v>
      </c>
      <c r="I23" s="71">
        <f>J73</f>
        <v>0</v>
      </c>
      <c r="J23" s="46">
        <f>J83</f>
        <v>0</v>
      </c>
      <c r="K23" s="52" t="s">
        <v>58</v>
      </c>
      <c r="M23" s="5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spans="3:39" x14ac:dyDescent="0.3">
      <c r="C24" s="54"/>
      <c r="D24" s="63" t="s">
        <v>10</v>
      </c>
      <c r="E24" s="64">
        <f t="shared" si="0"/>
        <v>50000</v>
      </c>
      <c r="F24" s="64">
        <f t="shared" si="0"/>
        <v>25000</v>
      </c>
      <c r="G24" s="63" t="s">
        <v>21</v>
      </c>
      <c r="H24" s="69">
        <f t="shared" si="1"/>
        <v>15000</v>
      </c>
      <c r="I24" s="71">
        <f t="shared" ref="I24:I28" si="2">J74</f>
        <v>20000</v>
      </c>
      <c r="J24" s="46">
        <f t="shared" ref="J24:J29" si="3">J84</f>
        <v>20000</v>
      </c>
      <c r="K24" s="52" t="s">
        <v>59</v>
      </c>
      <c r="M24" s="59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 spans="3:39" x14ac:dyDescent="0.3">
      <c r="C25" s="54"/>
      <c r="D25" s="63" t="s">
        <v>11</v>
      </c>
      <c r="E25" s="64">
        <f t="shared" si="0"/>
        <v>50000</v>
      </c>
      <c r="F25" s="64">
        <f t="shared" si="0"/>
        <v>37500</v>
      </c>
      <c r="G25" s="63" t="s">
        <v>22</v>
      </c>
      <c r="H25" s="69">
        <f t="shared" si="1"/>
        <v>30000</v>
      </c>
      <c r="I25" s="71">
        <f t="shared" si="2"/>
        <v>30000</v>
      </c>
      <c r="J25" s="46">
        <f t="shared" si="3"/>
        <v>40000</v>
      </c>
      <c r="K25" s="52" t="s">
        <v>60</v>
      </c>
      <c r="M25" s="5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spans="3:39" x14ac:dyDescent="0.3">
      <c r="C26" s="54"/>
      <c r="D26" s="63" t="s">
        <v>12</v>
      </c>
      <c r="E26" s="64">
        <f t="shared" si="0"/>
        <v>75000</v>
      </c>
      <c r="F26" s="64">
        <f t="shared" si="0"/>
        <v>50000</v>
      </c>
      <c r="G26" s="73" t="s">
        <v>23</v>
      </c>
      <c r="H26" s="69">
        <f t="shared" si="1"/>
        <v>45000</v>
      </c>
      <c r="I26" s="71">
        <f t="shared" si="2"/>
        <v>30000</v>
      </c>
      <c r="J26" s="46">
        <f t="shared" si="3"/>
        <v>60000</v>
      </c>
      <c r="K26" s="52" t="s">
        <v>61</v>
      </c>
      <c r="M26" s="59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spans="3:39" x14ac:dyDescent="0.3">
      <c r="C27" s="54"/>
      <c r="D27" s="63" t="s">
        <v>13</v>
      </c>
      <c r="E27" s="64">
        <f t="shared" si="0"/>
        <v>75000</v>
      </c>
      <c r="F27" s="64">
        <f t="shared" si="0"/>
        <v>62500</v>
      </c>
      <c r="G27" s="63" t="s">
        <v>24</v>
      </c>
      <c r="H27" s="69">
        <f t="shared" si="1"/>
        <v>60000</v>
      </c>
      <c r="I27" s="71">
        <f t="shared" si="2"/>
        <v>60000</v>
      </c>
      <c r="J27" s="46">
        <f t="shared" si="3"/>
        <v>80000</v>
      </c>
      <c r="K27" s="52" t="s">
        <v>62</v>
      </c>
      <c r="M27" s="59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spans="3:39" x14ac:dyDescent="0.3">
      <c r="C28" s="54"/>
      <c r="D28" s="63" t="s">
        <v>14</v>
      </c>
      <c r="E28" s="64">
        <f t="shared" si="0"/>
        <v>240000</v>
      </c>
      <c r="F28" s="64">
        <f t="shared" si="0"/>
        <v>300000</v>
      </c>
      <c r="G28" s="63" t="s">
        <v>14</v>
      </c>
      <c r="H28" s="69">
        <f t="shared" si="1"/>
        <v>300000</v>
      </c>
      <c r="I28" s="71">
        <f t="shared" si="2"/>
        <v>300000</v>
      </c>
      <c r="J28" s="46">
        <f t="shared" si="3"/>
        <v>100000</v>
      </c>
      <c r="K28" s="52" t="s">
        <v>63</v>
      </c>
      <c r="M28" s="59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spans="3:39" x14ac:dyDescent="0.3">
      <c r="C29" s="74"/>
      <c r="J29" s="46">
        <f t="shared" si="3"/>
        <v>30000</v>
      </c>
      <c r="K29" s="52" t="s">
        <v>64</v>
      </c>
      <c r="M29" s="59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 spans="3:39" x14ac:dyDescent="0.3">
      <c r="D30" s="75" t="s">
        <v>33</v>
      </c>
      <c r="E30" s="68">
        <f>SUM(E22:E28)</f>
        <v>502500</v>
      </c>
      <c r="F30" s="68">
        <f>SUM(F22:F28)</f>
        <v>487500</v>
      </c>
      <c r="G30" s="75" t="s">
        <v>33</v>
      </c>
      <c r="H30" s="68">
        <f>SUM(H23:H28)</f>
        <v>450000</v>
      </c>
      <c r="I30" s="68">
        <f>IF(I20&lt;=700000,SUM(I23:I28),IF(SUM(I23:I28)&gt;(I20-700000),(I20-700000),SUM(I23:I28)))</f>
        <v>440000</v>
      </c>
      <c r="J30" s="68">
        <f>IF(J20&lt;=1200000,SUM(J23:J29),IF(SUM(J23:J29)&gt;(J20-1200000),(J20-1200000),SUM(J23:J29)))</f>
        <v>330000</v>
      </c>
      <c r="M30" s="59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spans="3:39" x14ac:dyDescent="0.3">
      <c r="D31" s="76" t="s">
        <v>32</v>
      </c>
      <c r="E31" s="77">
        <f>IF(E20&lt;=500000,E30,0)</f>
        <v>0</v>
      </c>
      <c r="F31" s="50">
        <v>0</v>
      </c>
      <c r="G31" s="76" t="s">
        <v>32</v>
      </c>
      <c r="H31" s="50">
        <f>IF(H20&lt;=700000,H30,0)</f>
        <v>0</v>
      </c>
      <c r="I31" s="50">
        <f>IF(I20&lt;=700000,I30,0)</f>
        <v>0</v>
      </c>
      <c r="J31" s="50">
        <f>IF(J20&lt;=1200000,J30,0)</f>
        <v>0</v>
      </c>
      <c r="M31" s="59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 spans="3:39" x14ac:dyDescent="0.3">
      <c r="D32" s="63" t="s">
        <v>37</v>
      </c>
      <c r="E32" s="77">
        <f>IF(E20&lt;=5000000,E30*0,IF(E20&lt;=10000000,E30*0.1,IF(E20&lt;=20000000,E30*0.15,IF(E20&lt;=50000000,E30*0.25,E30*0.37))))</f>
        <v>0</v>
      </c>
      <c r="F32" s="77">
        <f>IF(F20&lt;=5000000,F30*0,IF(F20&lt;=10000000,F30*0.1,IF(F20&lt;=20000000,F30*0.15,IF(F20&lt;=50000000,F30*0.25,F30*0.37))))</f>
        <v>0</v>
      </c>
      <c r="G32" s="78"/>
      <c r="H32" s="77">
        <f>IF(H20&lt;=5000000,H30*0,IF(H20&lt;=10000000,H30*0.1,IF(H20&lt;=20000000,H30*0.15,IF(H20&lt;=50000000,H30*0.25,H30*0.25))))</f>
        <v>0</v>
      </c>
      <c r="I32" s="77">
        <f>IF(I20&lt;=5000000,I30*0,IF(I20&lt;=10000000,I30*0.1,IF(I20&lt;=20000000,I30*0.15,IF(I20&lt;=50000000,I30*0.25,I30*0.25))))</f>
        <v>0</v>
      </c>
      <c r="J32" s="77">
        <f>IF(J20&lt;=5000000,J30*0,IF(J20&lt;=10000000,J30*0.1,IF(J20&lt;=20000000,J30*0.15,IF(J20&lt;=50000000,J30*0.25,J30*0.25))))</f>
        <v>0</v>
      </c>
      <c r="M32" s="59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spans="4:39" x14ac:dyDescent="0.3">
      <c r="D33" s="63" t="s">
        <v>44</v>
      </c>
      <c r="E33" s="77">
        <f>E30+E32</f>
        <v>502500</v>
      </c>
      <c r="F33" s="77">
        <f>F30+F32</f>
        <v>487500</v>
      </c>
      <c r="G33" s="78"/>
      <c r="H33" s="77">
        <f>H30+H32</f>
        <v>450000</v>
      </c>
      <c r="I33" s="77">
        <f>I30+I32</f>
        <v>440000</v>
      </c>
      <c r="J33" s="77">
        <f>J30+J32</f>
        <v>330000</v>
      </c>
      <c r="K33" s="48"/>
      <c r="M33" s="59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spans="4:39" x14ac:dyDescent="0.3">
      <c r="D34" s="63" t="s">
        <v>45</v>
      </c>
      <c r="E34" s="91">
        <f>IF(E20&lt;=5000000,0,IF(E20&lt;=10000000,'50L'!E33,IF(E20&lt;=20000000,'1Cr'!E33,IF(E20&lt;=50000000,'2Cr'!E33,'5Cr'!E33))))</f>
        <v>0</v>
      </c>
      <c r="F34" s="91">
        <f>IF(F20&lt;=5000000,0,IF(F20&lt;=10000000,'50L'!F33,IF(F20&lt;=20000000,'1Cr'!F33,IF(F20&lt;=50000000,'2Cr'!F33,'5Cr'!F33))))</f>
        <v>0</v>
      </c>
      <c r="G34" s="78"/>
      <c r="H34" s="91">
        <f>IF(H20&lt;=5000000,0,IF(H20&lt;=10000000,'50L'!H33,IF(H20&lt;=20000000,'1Cr'!H33,IF(H20&lt;=50000000,'2Cr'!H33,'5Cr'!H33))))</f>
        <v>0</v>
      </c>
      <c r="I34" s="91">
        <f>IF(I20&lt;=5000000,0,IF(I20&lt;=10000000,'50L'!I33,IF(I20&lt;=20000000,'1Cr'!I33,IF(I20&lt;=50000000,'2Cr'!I33,'5Cr'!I33))))</f>
        <v>0</v>
      </c>
      <c r="J34" s="91">
        <f>IF(J20&lt;=5000000,0,IF(J20&lt;=10000000,'50L'!J33,IF(J20&lt;=20000000,'1Cr'!J33,IF(J20&lt;=50000000,'2Cr'!J33,'5Cr'!J33))))</f>
        <v>0</v>
      </c>
      <c r="M34" s="59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 spans="4:39" x14ac:dyDescent="0.3">
      <c r="D35" s="63" t="s">
        <v>46</v>
      </c>
      <c r="E35" s="77">
        <f>IF(E32&gt;0,IF((E33-E34)&gt;0,E33-E34,0),0)</f>
        <v>0</v>
      </c>
      <c r="F35" s="77">
        <f>IF(F32&gt;0,IF((F33-F34)&gt;0,F33-F34,0),0)</f>
        <v>0</v>
      </c>
      <c r="G35" s="78"/>
      <c r="H35" s="77">
        <f>IF(H32&gt;0,IF((H33-H34)&gt;0,H33-H34,0),0)</f>
        <v>0</v>
      </c>
      <c r="I35" s="77">
        <f>IF(I32&gt;0,IF((I33-I34)&gt;0,I33-I34,0),0)</f>
        <v>0</v>
      </c>
      <c r="J35" s="77">
        <f>IF(J32&gt;0,IF((J33-J34)&gt;0,J33-J34,0),0)</f>
        <v>0</v>
      </c>
      <c r="M35" s="59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 spans="4:39" x14ac:dyDescent="0.3">
      <c r="D36" s="90" t="s">
        <v>47</v>
      </c>
      <c r="E36" s="91">
        <f>IF(E20&lt;=5000000,0,IF(E20&lt;=10000000,E20-5000000,IF(E20&lt;=20000000,E20-10000000,IF(E20&lt;=50000000,E20-20000000,E20-50000000))))</f>
        <v>0</v>
      </c>
      <c r="F36" s="91">
        <f>IF(F20&lt;=5000000,0,IF(F20&lt;=10000000,F20-5000000,IF(F20&lt;=20000000,F20-10000000,IF(F20&lt;=50000000,F20-20000000,F20-50000000))))</f>
        <v>0</v>
      </c>
      <c r="G36" s="78"/>
      <c r="H36" s="91">
        <f>IF(H20&lt;=5000000,0,IF(H20&lt;=10000000,H20-5000000,IF(H20&lt;=20000000,H20-10000000,IF(H20&lt;=50000000,H20-20000000,H20-50000000))))</f>
        <v>0</v>
      </c>
      <c r="I36" s="91">
        <f>IF(I20&lt;=5000000,0,IF(I20&lt;=10000000,I20-5000000,IF(I20&lt;=20000000,I20-10000000,IF(I20&lt;=50000000,I20-20000000,I20-50000000))))</f>
        <v>0</v>
      </c>
      <c r="J36" s="91">
        <f>IF(J20&lt;=5000000,0,IF(J20&lt;=10000000,J20-5000000,IF(J20&lt;=20000000,J20-10000000,IF(J20&lt;=50000000,J20-20000000,J20-50000000))))</f>
        <v>0</v>
      </c>
      <c r="M36" s="59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spans="4:39" x14ac:dyDescent="0.3">
      <c r="D37" s="63" t="s">
        <v>43</v>
      </c>
      <c r="E37" s="77">
        <f>IF((E35-E36)&gt;0,E35-E36,0)</f>
        <v>0</v>
      </c>
      <c r="F37" s="77">
        <f>IF((F35-F36)&gt;0,F35-F36,0)</f>
        <v>0</v>
      </c>
      <c r="G37" s="78"/>
      <c r="H37" s="77">
        <f>IF((H35-H36)&gt;0,H35-H36,0)</f>
        <v>0</v>
      </c>
      <c r="I37" s="77">
        <f>IF((I35-I36)&gt;0,I35-I36,0)</f>
        <v>0</v>
      </c>
      <c r="J37" s="77">
        <f>IF((J35-J36)&gt;0,J35-J36,0)</f>
        <v>0</v>
      </c>
      <c r="M37" s="59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 spans="4:39" x14ac:dyDescent="0.3">
      <c r="D38" s="63" t="s">
        <v>48</v>
      </c>
      <c r="E38" s="77">
        <f>E30+E32-E37</f>
        <v>502500</v>
      </c>
      <c r="F38" s="77">
        <f>F30+F32-F37</f>
        <v>487500</v>
      </c>
      <c r="G38" s="78"/>
      <c r="H38" s="77">
        <f>H30+H32-H37</f>
        <v>450000</v>
      </c>
      <c r="I38" s="77">
        <f>I30+I32-I37</f>
        <v>440000</v>
      </c>
      <c r="J38" s="77">
        <f>J30+J32-J37</f>
        <v>330000</v>
      </c>
      <c r="M38" s="59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 spans="4:39" x14ac:dyDescent="0.3">
      <c r="D39" s="63" t="s">
        <v>35</v>
      </c>
      <c r="E39" s="77">
        <f>(E38-E31)*4%</f>
        <v>20100</v>
      </c>
      <c r="F39" s="77">
        <f>(F38-F31)*4%</f>
        <v>19500</v>
      </c>
      <c r="G39" s="79"/>
      <c r="H39" s="77">
        <f>(H38-H31)*4%</f>
        <v>18000</v>
      </c>
      <c r="I39" s="77">
        <f>(I38-I31)*4%</f>
        <v>17600</v>
      </c>
      <c r="J39" s="77">
        <f>(J38-J31)*4%</f>
        <v>13200</v>
      </c>
      <c r="M39" s="59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spans="4:39" x14ac:dyDescent="0.3">
      <c r="D40" s="75" t="s">
        <v>31</v>
      </c>
      <c r="E40" s="77">
        <f>E30-E31+E39+E32-E37</f>
        <v>522600</v>
      </c>
      <c r="F40" s="77">
        <f>F30-F31+F39+F32-F37</f>
        <v>507000</v>
      </c>
      <c r="G40" s="76" t="s">
        <v>31</v>
      </c>
      <c r="H40" s="77">
        <f>H30-H31+H39+H32-H37</f>
        <v>468000</v>
      </c>
      <c r="I40" s="77">
        <f>I30-I31+I39+I32-I37</f>
        <v>457600</v>
      </c>
      <c r="J40" s="77">
        <f>J30-J31+J39+J32-J37</f>
        <v>343200</v>
      </c>
      <c r="M40" s="59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spans="4:39" x14ac:dyDescent="0.3">
      <c r="D41" s="50" t="s">
        <v>49</v>
      </c>
      <c r="E41" s="93"/>
      <c r="F41" s="77">
        <f>F40-E40</f>
        <v>-15600</v>
      </c>
      <c r="G41" s="92"/>
      <c r="H41" s="77">
        <f>H40-$E$40</f>
        <v>-54600</v>
      </c>
      <c r="I41" s="77">
        <f>I40-$E$40</f>
        <v>-65000</v>
      </c>
      <c r="J41" s="77">
        <f>J40-$E$40</f>
        <v>-179400</v>
      </c>
      <c r="M41" s="59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spans="4:39" x14ac:dyDescent="0.3">
      <c r="D42" s="46" t="s">
        <v>57</v>
      </c>
      <c r="J42" s="48">
        <f>J40-I40</f>
        <v>-114400</v>
      </c>
      <c r="M42" s="59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spans="4:39" x14ac:dyDescent="0.3">
      <c r="M43" s="59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spans="4:39" x14ac:dyDescent="0.3">
      <c r="M44" s="59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spans="4:39" x14ac:dyDescent="0.3">
      <c r="M45" s="59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4:39" x14ac:dyDescent="0.3">
      <c r="M46" s="59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spans="4:39" x14ac:dyDescent="0.3">
      <c r="M47" s="59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spans="4:39" x14ac:dyDescent="0.3">
      <c r="M48" s="59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 spans="2:39" x14ac:dyDescent="0.3">
      <c r="M49" s="59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spans="2:39" x14ac:dyDescent="0.3">
      <c r="M50" s="59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spans="2:39" x14ac:dyDescent="0.3">
      <c r="M51" s="59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spans="2:39" x14ac:dyDescent="0.3">
      <c r="M52" s="59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spans="2:39" x14ac:dyDescent="0.3">
      <c r="B53" s="53"/>
      <c r="C53" s="51" t="s">
        <v>7</v>
      </c>
      <c r="D53" s="51" t="s">
        <v>26</v>
      </c>
      <c r="G53" s="51" t="s">
        <v>27</v>
      </c>
      <c r="H53" s="46" t="s">
        <v>25</v>
      </c>
      <c r="M53" s="59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 spans="2:39" x14ac:dyDescent="0.3">
      <c r="B54" s="80" t="s">
        <v>8</v>
      </c>
      <c r="C54" s="81">
        <f>MIN(E$20,250000)</f>
        <v>250000</v>
      </c>
      <c r="D54" s="82">
        <f>MIN(F$20,250000)</f>
        <v>250000</v>
      </c>
      <c r="F54" s="80" t="s">
        <v>20</v>
      </c>
      <c r="G54" s="48">
        <f>MIN($H$20,300000)</f>
        <v>300000</v>
      </c>
      <c r="H54" s="83">
        <v>0</v>
      </c>
      <c r="M54" s="59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 spans="2:39" x14ac:dyDescent="0.3">
      <c r="B55" s="84" t="s">
        <v>9</v>
      </c>
      <c r="C55" s="71">
        <f>MAX(MIN(E$20-C54,250000),0)</f>
        <v>250000</v>
      </c>
      <c r="D55" s="85">
        <f>MAX(MIN(F$20-D54,250000),0)</f>
        <v>250000</v>
      </c>
      <c r="F55" s="84" t="s">
        <v>21</v>
      </c>
      <c r="G55" s="48">
        <f>MAX(MIN(H$20-$G$54,300000),0)</f>
        <v>300000</v>
      </c>
      <c r="H55" s="83">
        <v>0.05</v>
      </c>
      <c r="M55" s="59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 spans="2:39" x14ac:dyDescent="0.3">
      <c r="B56" s="84" t="s">
        <v>10</v>
      </c>
      <c r="C56" s="71">
        <f>MAX(MIN(E$20-C$55-C$54,250000),0)</f>
        <v>250000</v>
      </c>
      <c r="D56" s="85">
        <f>MAX(MIN(F$20-D$55-D$54,250000),0)</f>
        <v>250000</v>
      </c>
      <c r="F56" s="84" t="s">
        <v>22</v>
      </c>
      <c r="G56" s="48">
        <f>MAX(MIN(H$20-$G$55-$G$54,300000),0)</f>
        <v>300000</v>
      </c>
      <c r="H56" s="83">
        <v>0.1</v>
      </c>
      <c r="M56" s="59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 spans="2:39" x14ac:dyDescent="0.3">
      <c r="B57" s="84" t="s">
        <v>11</v>
      </c>
      <c r="C57" s="71">
        <f>MAX(MIN(E$20-C$55-C$56-C$54,250000),0)</f>
        <v>250000</v>
      </c>
      <c r="D57" s="85">
        <f>MAX(MIN(F$20-D$55-D$56-D$54,250000),0)</f>
        <v>250000</v>
      </c>
      <c r="F57" s="86" t="s">
        <v>23</v>
      </c>
      <c r="G57" s="48">
        <f>MAX(MIN(H$20-$G$54-$G$55-$G$56,300000),0)</f>
        <v>300000</v>
      </c>
      <c r="H57" s="83">
        <v>0.15</v>
      </c>
      <c r="M57" s="59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 spans="2:39" x14ac:dyDescent="0.3">
      <c r="B58" s="84" t="s">
        <v>12</v>
      </c>
      <c r="C58" s="71">
        <f>MAX(MIN(E$20-C$55-C$56-C$57-C$54,250000),0)</f>
        <v>250000</v>
      </c>
      <c r="D58" s="85">
        <f>MAX(MIN(F$20-D$55-D$56-D$57-D$54,250000),0)</f>
        <v>250000</v>
      </c>
      <c r="F58" s="84" t="s">
        <v>24</v>
      </c>
      <c r="G58" s="48">
        <f>MAX(MIN(H$20-$G$54-$G$55-$G$56-$G$57,300000),0)</f>
        <v>300000</v>
      </c>
      <c r="H58" s="83">
        <v>0.2</v>
      </c>
      <c r="M58" s="59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 spans="2:39" x14ac:dyDescent="0.3">
      <c r="B59" s="84" t="s">
        <v>13</v>
      </c>
      <c r="C59" s="71">
        <f>MAX(MIN(E$20-C$55-C$56-C$57-C$54-C$58,250000),0)</f>
        <v>250000</v>
      </c>
      <c r="D59" s="85">
        <f>MAX(MIN(F$20-D$55-D$56-D$57-D$54-D$58,250000),0)</f>
        <v>250000</v>
      </c>
      <c r="F59" s="84" t="s">
        <v>14</v>
      </c>
      <c r="G59" s="48">
        <f>MAX(MIN(H$20-$G$54-$G$55-$G$56-$G$57-$G$58,F$20),0)</f>
        <v>1000000</v>
      </c>
      <c r="H59" s="83">
        <v>0.3</v>
      </c>
      <c r="M59" s="59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 spans="2:39" x14ac:dyDescent="0.3">
      <c r="B60" s="84" t="s">
        <v>14</v>
      </c>
      <c r="C60" s="71">
        <f>MAX(MIN(E$20-C$55-C$56-C$57-C$54-C$58-C$59,E$20),0)</f>
        <v>800000</v>
      </c>
      <c r="D60" s="85">
        <f>MAX(MIN(F$20-D$55-D$56-D$57-D$54-D$58-D$59,F$20),0)</f>
        <v>1000000</v>
      </c>
      <c r="F60" s="84"/>
      <c r="M60" s="59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spans="2:39" x14ac:dyDescent="0.3">
      <c r="B61" s="87" t="s">
        <v>15</v>
      </c>
      <c r="C61" s="88">
        <f>SUM(C54:C60)</f>
        <v>2300000</v>
      </c>
      <c r="D61" s="89">
        <f>SUM(D54:D60)</f>
        <v>2500000</v>
      </c>
      <c r="F61" s="87"/>
      <c r="G61" s="71"/>
      <c r="H61" s="71"/>
      <c r="M61" s="59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 spans="2:39" x14ac:dyDescent="0.3">
      <c r="M62" s="59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spans="2:39" x14ac:dyDescent="0.3">
      <c r="C63" s="46" t="s">
        <v>17</v>
      </c>
      <c r="D63" s="51" t="s">
        <v>26</v>
      </c>
      <c r="M63" s="59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</row>
    <row r="64" spans="2:39" x14ac:dyDescent="0.3">
      <c r="C64" s="83">
        <v>0</v>
      </c>
      <c r="D64" s="83">
        <v>0</v>
      </c>
      <c r="M64" s="59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</row>
    <row r="65" spans="1:39" x14ac:dyDescent="0.3">
      <c r="C65" s="83">
        <v>0.05</v>
      </c>
      <c r="D65" s="83">
        <v>0.05</v>
      </c>
      <c r="M65" s="59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</row>
    <row r="66" spans="1:39" x14ac:dyDescent="0.3">
      <c r="C66" s="83">
        <v>0.2</v>
      </c>
      <c r="D66" s="83">
        <v>0.1</v>
      </c>
      <c r="M66" s="59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 spans="1:39" x14ac:dyDescent="0.3">
      <c r="C67" s="83">
        <v>0.2</v>
      </c>
      <c r="D67" s="83">
        <v>0.15</v>
      </c>
      <c r="M67" s="59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 spans="1:39" x14ac:dyDescent="0.3">
      <c r="C68" s="83">
        <v>0.3</v>
      </c>
      <c r="D68" s="83">
        <v>0.2</v>
      </c>
      <c r="M68" s="59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 spans="1:39" x14ac:dyDescent="0.3">
      <c r="C69" s="83">
        <v>0.3</v>
      </c>
      <c r="D69" s="83">
        <v>0.25</v>
      </c>
      <c r="M69" s="59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 spans="1:39" x14ac:dyDescent="0.3">
      <c r="C70" s="83">
        <v>0.3</v>
      </c>
      <c r="D70" s="83">
        <v>0.3</v>
      </c>
      <c r="M70" s="59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 spans="1:39" x14ac:dyDescent="0.3">
      <c r="M71" s="59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 spans="1:39" x14ac:dyDescent="0.3">
      <c r="I72" s="51" t="s">
        <v>51</v>
      </c>
      <c r="M72" s="59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spans="1:39" ht="14.5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I73" s="83">
        <v>0</v>
      </c>
      <c r="J73" s="46">
        <f t="shared" ref="J73:J78" si="4">D73*I73</f>
        <v>0</v>
      </c>
      <c r="M73" s="59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 spans="1:39" ht="14.5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I74" s="83">
        <v>0.05</v>
      </c>
      <c r="J74" s="46">
        <f t="shared" si="4"/>
        <v>20000</v>
      </c>
      <c r="M74" s="59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</row>
    <row r="75" spans="1:39" ht="14.5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I75" s="83">
        <v>0.1</v>
      </c>
      <c r="J75" s="46">
        <f t="shared" si="4"/>
        <v>30000</v>
      </c>
      <c r="M75" s="59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</row>
    <row r="76" spans="1:39" ht="14.5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I76" s="83">
        <v>0.15</v>
      </c>
      <c r="J76" s="46">
        <f t="shared" si="4"/>
        <v>30000</v>
      </c>
      <c r="M76" s="59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</row>
    <row r="77" spans="1:39" ht="14.5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300000</v>
      </c>
      <c r="I77" s="83">
        <v>0.2</v>
      </c>
      <c r="J77" s="46">
        <f t="shared" si="4"/>
        <v>60000</v>
      </c>
      <c r="M77" s="59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</row>
    <row r="78" spans="1:39" ht="14.5" x14ac:dyDescent="0.35">
      <c r="A78">
        <v>1500000</v>
      </c>
      <c r="B78" s="2">
        <f>I20</f>
        <v>2500000</v>
      </c>
      <c r="C78" s="46">
        <f t="shared" si="5"/>
        <v>1000000</v>
      </c>
      <c r="D78" s="48">
        <f>MAX(MIN(I$20-D73-D74-D75-D76-D77,C78),0)</f>
        <v>1000000</v>
      </c>
      <c r="I78" s="83">
        <v>0.3</v>
      </c>
      <c r="J78" s="46">
        <f t="shared" si="4"/>
        <v>300000</v>
      </c>
      <c r="M78" s="59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</row>
    <row r="79" spans="1:39" x14ac:dyDescent="0.3">
      <c r="D79" s="48"/>
      <c r="I79" s="53" t="s">
        <v>15</v>
      </c>
      <c r="J79" s="53">
        <f>SUM(J72:J78)</f>
        <v>440000</v>
      </c>
      <c r="M79" s="59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</row>
    <row r="80" spans="1:39" x14ac:dyDescent="0.3">
      <c r="M80" s="59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</row>
    <row r="81" spans="1:39" x14ac:dyDescent="0.3">
      <c r="M81" s="59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</row>
    <row r="82" spans="1:39" x14ac:dyDescent="0.3">
      <c r="I82" s="51" t="s">
        <v>56</v>
      </c>
      <c r="M82" s="59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</row>
    <row r="83" spans="1:39" x14ac:dyDescent="0.3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I83" s="83">
        <v>0</v>
      </c>
      <c r="J83" s="46">
        <f t="shared" ref="J83:J89" si="6">D83*I83</f>
        <v>0</v>
      </c>
      <c r="M83" s="59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</row>
    <row r="84" spans="1:39" x14ac:dyDescent="0.3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I84" s="83">
        <v>0.05</v>
      </c>
      <c r="J84" s="46">
        <f t="shared" si="6"/>
        <v>20000</v>
      </c>
      <c r="M84" s="59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</row>
    <row r="85" spans="1:39" x14ac:dyDescent="0.3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I85" s="83">
        <v>0.1</v>
      </c>
      <c r="J85" s="46">
        <f t="shared" si="6"/>
        <v>40000</v>
      </c>
      <c r="M85" s="59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</row>
    <row r="86" spans="1:39" x14ac:dyDescent="0.3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400000</v>
      </c>
      <c r="I86" s="83">
        <v>0.15</v>
      </c>
      <c r="J86" s="46">
        <f t="shared" si="6"/>
        <v>60000</v>
      </c>
      <c r="M86" s="59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</row>
    <row r="87" spans="1:39" x14ac:dyDescent="0.3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400000</v>
      </c>
      <c r="I87" s="83">
        <v>0.2</v>
      </c>
      <c r="J87" s="46">
        <f t="shared" si="6"/>
        <v>80000</v>
      </c>
      <c r="M87" s="59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</row>
    <row r="88" spans="1:39" x14ac:dyDescent="0.3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400000</v>
      </c>
      <c r="I88" s="83">
        <v>0.25</v>
      </c>
      <c r="J88" s="46">
        <f t="shared" si="6"/>
        <v>100000</v>
      </c>
      <c r="M88" s="59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</row>
    <row r="89" spans="1:39" x14ac:dyDescent="0.3">
      <c r="A89" s="46">
        <v>2400000</v>
      </c>
      <c r="B89" s="48">
        <f>J20</f>
        <v>2500000</v>
      </c>
      <c r="C89" s="46">
        <f t="shared" si="7"/>
        <v>100000</v>
      </c>
      <c r="D89" s="48">
        <f>MAX(MIN(J$20-D84-D85-D86-D87-D88,C89),0)</f>
        <v>100000</v>
      </c>
      <c r="I89" s="83">
        <v>0.3</v>
      </c>
      <c r="J89" s="46">
        <f t="shared" si="6"/>
        <v>30000</v>
      </c>
      <c r="M89" s="59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</row>
    <row r="90" spans="1:39" x14ac:dyDescent="0.3">
      <c r="I90" s="53" t="s">
        <v>15</v>
      </c>
      <c r="J90" s="53">
        <f>SUM(J83:J89)</f>
        <v>330000</v>
      </c>
      <c r="M90" s="59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</row>
    <row r="91" spans="1:39" x14ac:dyDescent="0.3">
      <c r="M91" s="59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</row>
    <row r="92" spans="1:39" x14ac:dyDescent="0.3">
      <c r="M92" s="59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</row>
    <row r="93" spans="1:39" x14ac:dyDescent="0.3">
      <c r="M93" s="59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</row>
    <row r="94" spans="1:39" x14ac:dyDescent="0.3">
      <c r="M94" s="59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</row>
    <row r="95" spans="1:39" x14ac:dyDescent="0.3">
      <c r="M95" s="59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</row>
    <row r="96" spans="1:39" x14ac:dyDescent="0.3">
      <c r="M96" s="59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</row>
    <row r="97" spans="13:39" x14ac:dyDescent="0.3">
      <c r="M97" s="59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</row>
    <row r="98" spans="13:39" x14ac:dyDescent="0.3">
      <c r="M98" s="59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</row>
    <row r="99" spans="13:39" x14ac:dyDescent="0.3">
      <c r="M99" s="59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</row>
    <row r="100" spans="13:39" x14ac:dyDescent="0.3">
      <c r="M100" s="59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</row>
    <row r="101" spans="13:39" x14ac:dyDescent="0.3">
      <c r="M101" s="59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</row>
    <row r="102" spans="13:39" x14ac:dyDescent="0.3">
      <c r="M102" s="59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</row>
    <row r="103" spans="13:39" x14ac:dyDescent="0.3">
      <c r="M103" s="59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</row>
    <row r="104" spans="13:39" x14ac:dyDescent="0.3">
      <c r="M104" s="59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</row>
    <row r="105" spans="13:39" x14ac:dyDescent="0.3">
      <c r="M105" s="59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</row>
    <row r="106" spans="13:39" x14ac:dyDescent="0.3">
      <c r="M106" s="59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</row>
    <row r="107" spans="13:39" x14ac:dyDescent="0.3">
      <c r="M107" s="59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</row>
    <row r="108" spans="13:39" x14ac:dyDescent="0.3">
      <c r="M108" s="59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</row>
    <row r="109" spans="13:39" x14ac:dyDescent="0.3">
      <c r="M109" s="59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 spans="13:39" x14ac:dyDescent="0.3">
      <c r="M110" s="59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</row>
    <row r="111" spans="13:39" x14ac:dyDescent="0.3">
      <c r="M111" s="59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</row>
    <row r="112" spans="13:39" x14ac:dyDescent="0.3">
      <c r="M112" s="59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</row>
    <row r="113" spans="13:39" x14ac:dyDescent="0.3">
      <c r="M113" s="59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</row>
    <row r="114" spans="13:39" x14ac:dyDescent="0.3">
      <c r="M114" s="59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 spans="13:39" x14ac:dyDescent="0.3">
      <c r="M115" s="59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</row>
    <row r="116" spans="13:39" x14ac:dyDescent="0.3">
      <c r="M116" s="59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</row>
    <row r="117" spans="13:39" x14ac:dyDescent="0.3">
      <c r="M117" s="59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</row>
    <row r="118" spans="13:39" x14ac:dyDescent="0.3">
      <c r="M118" s="59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</row>
    <row r="119" spans="13:39" x14ac:dyDescent="0.3">
      <c r="M119" s="59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</row>
    <row r="120" spans="13:39" x14ac:dyDescent="0.3">
      <c r="M120" s="59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</row>
    <row r="121" spans="13:39" x14ac:dyDescent="0.3">
      <c r="M121" s="59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</row>
    <row r="125" spans="13:39" x14ac:dyDescent="0.3">
      <c r="M125" s="58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</row>
    <row r="126" spans="13:39" x14ac:dyDescent="0.3">
      <c r="M126" s="59"/>
    </row>
    <row r="127" spans="13:39" x14ac:dyDescent="0.3">
      <c r="M127" s="59"/>
    </row>
    <row r="128" spans="13:39" x14ac:dyDescent="0.3">
      <c r="M128" s="59"/>
    </row>
    <row r="129" spans="13:13" x14ac:dyDescent="0.3">
      <c r="M129" s="59"/>
    </row>
    <row r="130" spans="13:13" x14ac:dyDescent="0.3">
      <c r="M130" s="59"/>
    </row>
    <row r="131" spans="13:13" x14ac:dyDescent="0.3">
      <c r="M131" s="59"/>
    </row>
    <row r="132" spans="13:13" x14ac:dyDescent="0.3">
      <c r="M132" s="59"/>
    </row>
    <row r="133" spans="13:13" x14ac:dyDescent="0.3">
      <c r="M133" s="59"/>
    </row>
    <row r="134" spans="13:13" x14ac:dyDescent="0.3">
      <c r="M134" s="59"/>
    </row>
    <row r="135" spans="13:13" x14ac:dyDescent="0.3">
      <c r="M135" s="59"/>
    </row>
    <row r="136" spans="13:13" x14ac:dyDescent="0.3">
      <c r="M136" s="59"/>
    </row>
    <row r="137" spans="13:13" x14ac:dyDescent="0.3">
      <c r="M137" s="59"/>
    </row>
    <row r="138" spans="13:13" x14ac:dyDescent="0.3">
      <c r="M138" s="59"/>
    </row>
    <row r="139" spans="13:13" x14ac:dyDescent="0.3">
      <c r="M139" s="59"/>
    </row>
    <row r="140" spans="13:13" x14ac:dyDescent="0.3">
      <c r="M140" s="59"/>
    </row>
    <row r="141" spans="13:13" x14ac:dyDescent="0.3">
      <c r="M141" s="59"/>
    </row>
    <row r="142" spans="13:13" x14ac:dyDescent="0.3">
      <c r="M142" s="59"/>
    </row>
    <row r="143" spans="13:13" x14ac:dyDescent="0.3">
      <c r="M143" s="59"/>
    </row>
    <row r="144" spans="13:13" x14ac:dyDescent="0.3">
      <c r="M144" s="59"/>
    </row>
    <row r="145" spans="13:13" x14ac:dyDescent="0.3">
      <c r="M145" s="59"/>
    </row>
    <row r="146" spans="13:13" x14ac:dyDescent="0.3">
      <c r="M146" s="59"/>
    </row>
    <row r="147" spans="13:13" x14ac:dyDescent="0.3">
      <c r="M147" s="59"/>
    </row>
    <row r="148" spans="13:13" x14ac:dyDescent="0.3">
      <c r="M148" s="59"/>
    </row>
    <row r="149" spans="13:13" x14ac:dyDescent="0.3">
      <c r="M149" s="59"/>
    </row>
    <row r="150" spans="13:13" x14ac:dyDescent="0.3">
      <c r="M150" s="59"/>
    </row>
    <row r="151" spans="13:13" x14ac:dyDescent="0.3">
      <c r="M151" s="59"/>
    </row>
    <row r="152" spans="13:13" x14ac:dyDescent="0.3">
      <c r="M152" s="59"/>
    </row>
    <row r="153" spans="13:13" x14ac:dyDescent="0.3">
      <c r="M153" s="59"/>
    </row>
    <row r="154" spans="13:13" x14ac:dyDescent="0.3">
      <c r="M154" s="59"/>
    </row>
    <row r="155" spans="13:13" x14ac:dyDescent="0.3">
      <c r="M155" s="59"/>
    </row>
    <row r="156" spans="13:13" x14ac:dyDescent="0.3">
      <c r="M156" s="59"/>
    </row>
    <row r="157" spans="13:13" x14ac:dyDescent="0.3">
      <c r="M157" s="59"/>
    </row>
    <row r="158" spans="13:13" x14ac:dyDescent="0.3">
      <c r="M158" s="59"/>
    </row>
    <row r="159" spans="13:13" x14ac:dyDescent="0.3">
      <c r="M159" s="59"/>
    </row>
    <row r="160" spans="13:13" x14ac:dyDescent="0.3">
      <c r="M160" s="59"/>
    </row>
    <row r="161" spans="9:13" x14ac:dyDescent="0.3">
      <c r="M161" s="59"/>
    </row>
    <row r="162" spans="9:13" x14ac:dyDescent="0.3">
      <c r="M162" s="59"/>
    </row>
    <row r="163" spans="9:13" x14ac:dyDescent="0.3">
      <c r="M163" s="59"/>
    </row>
    <row r="164" spans="9:13" x14ac:dyDescent="0.3">
      <c r="M164" s="59"/>
    </row>
    <row r="165" spans="9:13" x14ac:dyDescent="0.3">
      <c r="M165" s="59"/>
    </row>
    <row r="166" spans="9:13" x14ac:dyDescent="0.3">
      <c r="M166" s="59"/>
    </row>
    <row r="167" spans="9:13" x14ac:dyDescent="0.3">
      <c r="M167" s="59"/>
    </row>
    <row r="168" spans="9:13" x14ac:dyDescent="0.3">
      <c r="M168" s="59"/>
    </row>
    <row r="169" spans="9:13" x14ac:dyDescent="0.3">
      <c r="M169" s="59"/>
    </row>
    <row r="170" spans="9:13" x14ac:dyDescent="0.3">
      <c r="I170" s="48"/>
      <c r="M170" s="59"/>
    </row>
    <row r="171" spans="9:13" x14ac:dyDescent="0.3">
      <c r="M171" s="59"/>
    </row>
    <row r="172" spans="9:13" x14ac:dyDescent="0.3">
      <c r="M172" s="59"/>
    </row>
    <row r="173" spans="9:13" x14ac:dyDescent="0.3">
      <c r="M173" s="59"/>
    </row>
    <row r="174" spans="9:13" x14ac:dyDescent="0.3">
      <c r="M174" s="59"/>
    </row>
    <row r="175" spans="9:13" x14ac:dyDescent="0.3">
      <c r="M175" s="59"/>
    </row>
    <row r="176" spans="9:13" x14ac:dyDescent="0.3">
      <c r="M176" s="59"/>
    </row>
    <row r="177" spans="13:13" x14ac:dyDescent="0.3">
      <c r="M177" s="59"/>
    </row>
    <row r="178" spans="13:13" x14ac:dyDescent="0.3">
      <c r="M178" s="59"/>
    </row>
    <row r="179" spans="13:13" x14ac:dyDescent="0.3">
      <c r="M179" s="59"/>
    </row>
    <row r="180" spans="13:13" x14ac:dyDescent="0.3">
      <c r="M180" s="59"/>
    </row>
    <row r="181" spans="13:13" x14ac:dyDescent="0.3">
      <c r="M181" s="59"/>
    </row>
    <row r="182" spans="13:13" x14ac:dyDescent="0.3">
      <c r="M182" s="59"/>
    </row>
    <row r="183" spans="13:13" x14ac:dyDescent="0.3">
      <c r="M183" s="59"/>
    </row>
    <row r="184" spans="13:13" x14ac:dyDescent="0.3">
      <c r="M184" s="59"/>
    </row>
    <row r="185" spans="13:13" x14ac:dyDescent="0.3">
      <c r="M185" s="59"/>
    </row>
    <row r="186" spans="13:13" x14ac:dyDescent="0.3">
      <c r="M186" s="59"/>
    </row>
    <row r="187" spans="13:13" x14ac:dyDescent="0.3">
      <c r="M187" s="59"/>
    </row>
    <row r="188" spans="13:13" x14ac:dyDescent="0.3">
      <c r="M188" s="59"/>
    </row>
    <row r="189" spans="13:13" x14ac:dyDescent="0.3">
      <c r="M189" s="59"/>
    </row>
    <row r="190" spans="13:13" x14ac:dyDescent="0.3">
      <c r="M190" s="59"/>
    </row>
    <row r="191" spans="13:13" x14ac:dyDescent="0.3">
      <c r="M191" s="59"/>
    </row>
    <row r="192" spans="13:13" x14ac:dyDescent="0.3">
      <c r="M192" s="59"/>
    </row>
    <row r="193" spans="13:13" x14ac:dyDescent="0.3">
      <c r="M193" s="59"/>
    </row>
    <row r="194" spans="13:13" x14ac:dyDescent="0.3">
      <c r="M194" s="59"/>
    </row>
    <row r="195" spans="13:13" x14ac:dyDescent="0.3">
      <c r="M195" s="59"/>
    </row>
    <row r="196" spans="13:13" x14ac:dyDescent="0.3">
      <c r="M196" s="59"/>
    </row>
    <row r="197" spans="13:13" x14ac:dyDescent="0.3">
      <c r="M197" s="59"/>
    </row>
    <row r="198" spans="13:13" x14ac:dyDescent="0.3">
      <c r="M198" s="59"/>
    </row>
    <row r="199" spans="13:13" x14ac:dyDescent="0.3">
      <c r="M199" s="59"/>
    </row>
    <row r="200" spans="13:13" x14ac:dyDescent="0.3">
      <c r="M200" s="59"/>
    </row>
    <row r="201" spans="13:13" x14ac:dyDescent="0.3">
      <c r="M201" s="59"/>
    </row>
    <row r="202" spans="13:13" x14ac:dyDescent="0.3">
      <c r="M202" s="59"/>
    </row>
    <row r="203" spans="13:13" x14ac:dyDescent="0.3">
      <c r="M203" s="59"/>
    </row>
    <row r="204" spans="13:13" x14ac:dyDescent="0.3">
      <c r="M204" s="59"/>
    </row>
    <row r="205" spans="13:13" x14ac:dyDescent="0.3">
      <c r="M205" s="59"/>
    </row>
    <row r="206" spans="13:13" x14ac:dyDescent="0.3">
      <c r="M206" s="59"/>
    </row>
    <row r="207" spans="13:13" x14ac:dyDescent="0.3">
      <c r="M207" s="59"/>
    </row>
    <row r="208" spans="13:13" x14ac:dyDescent="0.3">
      <c r="M208" s="59"/>
    </row>
    <row r="209" spans="13:13" x14ac:dyDescent="0.3">
      <c r="M209" s="59"/>
    </row>
    <row r="210" spans="13:13" x14ac:dyDescent="0.3">
      <c r="M210" s="59"/>
    </row>
    <row r="211" spans="13:13" x14ac:dyDescent="0.3">
      <c r="M211" s="59"/>
    </row>
    <row r="212" spans="13:13" x14ac:dyDescent="0.3">
      <c r="M212" s="59"/>
    </row>
    <row r="213" spans="13:13" x14ac:dyDescent="0.3">
      <c r="M213" s="59"/>
    </row>
    <row r="214" spans="13:13" x14ac:dyDescent="0.3">
      <c r="M214" s="59"/>
    </row>
    <row r="215" spans="13:13" x14ac:dyDescent="0.3">
      <c r="M215" s="59"/>
    </row>
    <row r="216" spans="13:13" x14ac:dyDescent="0.3">
      <c r="M216" s="59"/>
    </row>
    <row r="217" spans="13:13" x14ac:dyDescent="0.3">
      <c r="M217" s="59"/>
    </row>
    <row r="218" spans="13:13" x14ac:dyDescent="0.3">
      <c r="M218" s="59"/>
    </row>
    <row r="219" spans="13:13" x14ac:dyDescent="0.3">
      <c r="M219" s="59"/>
    </row>
    <row r="220" spans="13:13" x14ac:dyDescent="0.3">
      <c r="M220" s="59"/>
    </row>
    <row r="221" spans="13:13" x14ac:dyDescent="0.3">
      <c r="M221" s="59"/>
    </row>
    <row r="222" spans="13:13" x14ac:dyDescent="0.3">
      <c r="M222" s="59"/>
    </row>
    <row r="223" spans="13:13" x14ac:dyDescent="0.3">
      <c r="M223" s="59"/>
    </row>
    <row r="224" spans="13:13" x14ac:dyDescent="0.3">
      <c r="M224" s="59"/>
    </row>
    <row r="225" spans="13:13" x14ac:dyDescent="0.3">
      <c r="M225" s="59"/>
    </row>
    <row r="226" spans="13:13" x14ac:dyDescent="0.3">
      <c r="M226" s="59"/>
    </row>
    <row r="227" spans="13:13" x14ac:dyDescent="0.3">
      <c r="M227" s="5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865E-765A-4F69-95AB-477335F4AFA7}">
  <sheetPr codeName="Sheet2"/>
  <dimension ref="A3:AM222"/>
  <sheetViews>
    <sheetView showGridLines="0" topLeftCell="A75" zoomScale="115" zoomScaleNormal="115" workbookViewId="0">
      <selection activeCell="D89" sqref="D89"/>
    </sheetView>
  </sheetViews>
  <sheetFormatPr defaultRowHeight="14.5" x14ac:dyDescent="0.35"/>
  <cols>
    <col min="1" max="1" width="10.54296875" customWidth="1"/>
    <col min="2" max="2" width="11" bestFit="1" customWidth="1"/>
    <col min="3" max="3" width="23.453125" bestFit="1" customWidth="1"/>
    <col min="4" max="4" width="31" customWidth="1"/>
    <col min="5" max="5" width="22.08984375" customWidth="1"/>
    <col min="6" max="6" width="23.6328125" bestFit="1" customWidth="1"/>
    <col min="7" max="7" width="21.1796875" bestFit="1" customWidth="1"/>
    <col min="8" max="8" width="20.81640625" bestFit="1" customWidth="1"/>
    <col min="9" max="10" width="12.54296875" customWidth="1"/>
    <col min="12" max="12" width="4.36328125" bestFit="1" customWidth="1"/>
    <col min="13" max="13" width="15.453125" bestFit="1" customWidth="1"/>
    <col min="14" max="14" width="11.453125" bestFit="1" customWidth="1"/>
    <col min="15" max="15" width="11.54296875" bestFit="1" customWidth="1"/>
    <col min="16" max="19" width="13.453125" bestFit="1" customWidth="1"/>
    <col min="20" max="23" width="13.90625" bestFit="1" customWidth="1"/>
    <col min="24" max="24" width="15" bestFit="1" customWidth="1"/>
    <col min="25" max="39" width="13.90625" bestFit="1" customWidth="1"/>
  </cols>
  <sheetData>
    <row r="3" spans="3:39" ht="29" x14ac:dyDescent="0.35">
      <c r="C3" s="25" t="s">
        <v>19</v>
      </c>
    </row>
    <row r="5" spans="3:39" x14ac:dyDescent="0.35">
      <c r="D5" t="s">
        <v>36</v>
      </c>
      <c r="E5" s="41" t="str">
        <f>'After Budget 2025'!E5</f>
        <v>N</v>
      </c>
    </row>
    <row r="6" spans="3:39" x14ac:dyDescent="0.35">
      <c r="C6" s="2"/>
      <c r="D6" s="2" t="s">
        <v>34</v>
      </c>
      <c r="E6" s="2"/>
      <c r="F6" s="2"/>
      <c r="G6" s="2"/>
      <c r="H6" s="2"/>
      <c r="I6" s="2"/>
      <c r="J6" s="2"/>
      <c r="K6" s="2"/>
      <c r="L6" s="2"/>
      <c r="M6" s="2"/>
    </row>
    <row r="7" spans="3:39" x14ac:dyDescent="0.35">
      <c r="G7" s="4"/>
    </row>
    <row r="8" spans="3:39" x14ac:dyDescent="0.35">
      <c r="C8" s="14"/>
      <c r="D8" s="14"/>
      <c r="E8" s="23" t="s">
        <v>29</v>
      </c>
      <c r="F8" s="23" t="s">
        <v>28</v>
      </c>
      <c r="G8" s="31"/>
      <c r="H8" s="23" t="s">
        <v>30</v>
      </c>
      <c r="I8" s="51" t="s">
        <v>52</v>
      </c>
      <c r="J8" s="51" t="s">
        <v>55</v>
      </c>
      <c r="N8" s="1"/>
    </row>
    <row r="9" spans="3:39" x14ac:dyDescent="0.35">
      <c r="C9" s="15"/>
      <c r="D9" s="32" t="s">
        <v>0</v>
      </c>
      <c r="E9" s="16">
        <v>50000000</v>
      </c>
      <c r="F9" s="21">
        <f>E9</f>
        <v>50000000</v>
      </c>
      <c r="G9" s="31"/>
      <c r="H9" s="21">
        <f>F9</f>
        <v>50000000</v>
      </c>
      <c r="I9" s="57">
        <f>H9</f>
        <v>50000000</v>
      </c>
      <c r="J9" s="2">
        <f>H9</f>
        <v>50000000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3:39" ht="15" customHeight="1" x14ac:dyDescent="0.35">
      <c r="C10" s="15"/>
      <c r="D10" s="33" t="s">
        <v>2</v>
      </c>
      <c r="E10" s="17">
        <v>0</v>
      </c>
      <c r="F10" s="17"/>
      <c r="G10" s="31"/>
      <c r="H10" s="17"/>
      <c r="I10" s="52">
        <f>IF(E5="Y",-75000,0)</f>
        <v>0</v>
      </c>
      <c r="J10">
        <f>IF(E5="Y",-75000,0)</f>
        <v>0</v>
      </c>
      <c r="L10" s="98"/>
      <c r="M10" s="2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3:39" x14ac:dyDescent="0.35">
      <c r="C11" s="18" t="s">
        <v>1</v>
      </c>
      <c r="D11" s="34" t="s">
        <v>3</v>
      </c>
      <c r="E11" s="16">
        <v>0</v>
      </c>
      <c r="F11" s="19">
        <v>0</v>
      </c>
      <c r="G11" s="31"/>
      <c r="H11" s="19">
        <v>0</v>
      </c>
      <c r="I11" s="64">
        <v>0</v>
      </c>
      <c r="J11" s="64">
        <v>0</v>
      </c>
      <c r="L11" s="98"/>
      <c r="M11" s="2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3:39" x14ac:dyDescent="0.35">
      <c r="C12" s="15"/>
      <c r="D12" s="34" t="s">
        <v>41</v>
      </c>
      <c r="E12" s="16">
        <v>0</v>
      </c>
      <c r="F12" s="19">
        <f>E12</f>
        <v>0</v>
      </c>
      <c r="G12" s="31"/>
      <c r="H12" s="19">
        <f>E12</f>
        <v>0</v>
      </c>
      <c r="I12" s="94">
        <f>E12</f>
        <v>0</v>
      </c>
      <c r="J12" s="2">
        <f>E12</f>
        <v>0</v>
      </c>
      <c r="L12" s="98"/>
      <c r="M12" s="2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3:39" x14ac:dyDescent="0.35">
      <c r="C13" s="15"/>
      <c r="D13" s="34" t="s">
        <v>38</v>
      </c>
      <c r="E13" s="16">
        <v>0</v>
      </c>
      <c r="F13" s="19">
        <v>0</v>
      </c>
      <c r="G13" s="31"/>
      <c r="H13" s="19">
        <v>0</v>
      </c>
      <c r="I13" s="64">
        <v>0</v>
      </c>
      <c r="J13" s="64">
        <v>0</v>
      </c>
      <c r="L13" s="98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3:39" x14ac:dyDescent="0.35">
      <c r="C14" s="15"/>
      <c r="D14" s="34" t="s">
        <v>4</v>
      </c>
      <c r="E14" s="16">
        <v>0</v>
      </c>
      <c r="F14" s="19">
        <v>0</v>
      </c>
      <c r="G14" s="31"/>
      <c r="H14" s="19">
        <v>0</v>
      </c>
      <c r="I14" s="64">
        <v>0</v>
      </c>
      <c r="J14" s="64">
        <v>0</v>
      </c>
      <c r="L14" s="98"/>
      <c r="M14" s="2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3:39" x14ac:dyDescent="0.35">
      <c r="C15" s="15"/>
      <c r="D15" s="34" t="s">
        <v>5</v>
      </c>
      <c r="E15" s="16"/>
      <c r="F15" s="19">
        <v>0</v>
      </c>
      <c r="G15" s="31"/>
      <c r="H15" s="19">
        <v>0</v>
      </c>
      <c r="I15" s="64">
        <v>0</v>
      </c>
      <c r="J15" s="64">
        <v>0</v>
      </c>
      <c r="L15" s="98"/>
      <c r="M15" s="2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3:39" x14ac:dyDescent="0.35">
      <c r="C16" s="15"/>
      <c r="D16" s="34" t="s">
        <v>39</v>
      </c>
      <c r="E16" s="16"/>
      <c r="F16" s="19">
        <v>0</v>
      </c>
      <c r="G16" s="31"/>
      <c r="H16" s="19">
        <v>0</v>
      </c>
      <c r="I16" s="64">
        <v>0</v>
      </c>
      <c r="J16" s="64">
        <v>0</v>
      </c>
      <c r="L16" s="98"/>
      <c r="M16" s="2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3:39" x14ac:dyDescent="0.35">
      <c r="C17" s="15"/>
      <c r="D17" s="34" t="s">
        <v>40</v>
      </c>
      <c r="E17" s="16">
        <v>0</v>
      </c>
      <c r="F17" s="19">
        <v>0</v>
      </c>
      <c r="G17" s="31"/>
      <c r="H17" s="19">
        <v>0</v>
      </c>
      <c r="I17" s="64">
        <v>0</v>
      </c>
      <c r="J17" s="64">
        <v>0</v>
      </c>
      <c r="L17" s="98"/>
      <c r="M17" s="2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3:39" x14ac:dyDescent="0.35">
      <c r="C18" s="15"/>
      <c r="D18" s="34" t="s">
        <v>42</v>
      </c>
      <c r="E18" s="16"/>
      <c r="F18" s="19">
        <v>0</v>
      </c>
      <c r="G18" s="31"/>
      <c r="H18" s="19">
        <v>0</v>
      </c>
      <c r="I18" s="64">
        <v>0</v>
      </c>
      <c r="J18" s="64">
        <v>0</v>
      </c>
      <c r="L18" s="98"/>
      <c r="M18" s="2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3:39" x14ac:dyDescent="0.35">
      <c r="C19" s="15"/>
      <c r="D19" s="34" t="s">
        <v>18</v>
      </c>
      <c r="E19" s="16">
        <v>0</v>
      </c>
      <c r="F19" s="44">
        <f>SUM(F10:F18)</f>
        <v>0</v>
      </c>
      <c r="G19" s="31"/>
      <c r="H19" s="26">
        <f>SUM(H10:H18)</f>
        <v>0</v>
      </c>
      <c r="I19" s="66">
        <f>SUM(I10:I18)</f>
        <v>0</v>
      </c>
      <c r="J19" s="66">
        <f>SUM(J10:J18)</f>
        <v>0</v>
      </c>
      <c r="L19" s="98"/>
      <c r="M19" s="2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3:39" x14ac:dyDescent="0.35">
      <c r="C20" s="15"/>
      <c r="D20" s="23" t="s">
        <v>6</v>
      </c>
      <c r="E20" s="24">
        <f>E19+E9</f>
        <v>50000000</v>
      </c>
      <c r="F20" s="22">
        <f>F9</f>
        <v>50000000</v>
      </c>
      <c r="G20" s="31"/>
      <c r="H20" s="22">
        <f>+H19+H9</f>
        <v>50000000</v>
      </c>
      <c r="I20" s="68">
        <f>+I19+I9</f>
        <v>50000000</v>
      </c>
      <c r="J20" s="68">
        <f>+J19+J9</f>
        <v>50000000</v>
      </c>
      <c r="M20" s="2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3:39" x14ac:dyDescent="0.35">
      <c r="C21" s="15"/>
      <c r="D21" s="35"/>
      <c r="E21" s="35"/>
      <c r="F21" s="35"/>
      <c r="G21" s="31"/>
      <c r="H21" s="31"/>
      <c r="I21" s="53"/>
      <c r="M21" s="2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3:39" x14ac:dyDescent="0.35">
      <c r="C22" s="15" t="s">
        <v>16</v>
      </c>
      <c r="D22" s="34" t="s">
        <v>8</v>
      </c>
      <c r="E22" s="19">
        <f t="shared" ref="E22:F28" si="0">C49*C59</f>
        <v>0</v>
      </c>
      <c r="F22" s="19">
        <f t="shared" si="0"/>
        <v>0</v>
      </c>
      <c r="G22" s="36" t="s">
        <v>16</v>
      </c>
      <c r="H22" s="23" t="s">
        <v>30</v>
      </c>
      <c r="I22" s="51" t="s">
        <v>52</v>
      </c>
      <c r="J22" s="51" t="s">
        <v>55</v>
      </c>
      <c r="M22" s="2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3:39" x14ac:dyDescent="0.35">
      <c r="C23" s="15"/>
      <c r="D23" s="34" t="s">
        <v>9</v>
      </c>
      <c r="E23" s="19">
        <f t="shared" si="0"/>
        <v>12500</v>
      </c>
      <c r="F23" s="19">
        <f t="shared" si="0"/>
        <v>12500</v>
      </c>
      <c r="G23" s="37" t="s">
        <v>20</v>
      </c>
      <c r="H23" s="35">
        <f t="shared" ref="H23:H28" si="1">G49*H49</f>
        <v>0</v>
      </c>
      <c r="I23" s="71">
        <f>J73</f>
        <v>0</v>
      </c>
      <c r="J23" s="96">
        <f>J83</f>
        <v>0</v>
      </c>
      <c r="M23" s="2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3:39" x14ac:dyDescent="0.35">
      <c r="C24" s="15"/>
      <c r="D24" s="34" t="s">
        <v>10</v>
      </c>
      <c r="E24" s="19">
        <f t="shared" si="0"/>
        <v>50000</v>
      </c>
      <c r="F24" s="19">
        <f t="shared" si="0"/>
        <v>25000</v>
      </c>
      <c r="G24" s="34" t="s">
        <v>21</v>
      </c>
      <c r="H24" s="35">
        <f t="shared" si="1"/>
        <v>15000</v>
      </c>
      <c r="I24" s="71">
        <f t="shared" ref="I24:I28" si="2">J74</f>
        <v>20000</v>
      </c>
      <c r="J24" s="96">
        <f t="shared" ref="J24:J29" si="3">J84</f>
        <v>20000</v>
      </c>
      <c r="M24" s="2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3:39" x14ac:dyDescent="0.35">
      <c r="C25" s="15"/>
      <c r="D25" s="34" t="s">
        <v>11</v>
      </c>
      <c r="E25" s="19">
        <f t="shared" si="0"/>
        <v>50000</v>
      </c>
      <c r="F25" s="19">
        <f t="shared" si="0"/>
        <v>37500</v>
      </c>
      <c r="G25" s="34" t="s">
        <v>22</v>
      </c>
      <c r="H25" s="35">
        <f t="shared" si="1"/>
        <v>30000</v>
      </c>
      <c r="I25" s="71">
        <f t="shared" si="2"/>
        <v>30000</v>
      </c>
      <c r="J25" s="96">
        <f t="shared" si="3"/>
        <v>40000</v>
      </c>
      <c r="M25" s="2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3:39" x14ac:dyDescent="0.35">
      <c r="C26" s="15"/>
      <c r="D26" s="34" t="s">
        <v>12</v>
      </c>
      <c r="E26" s="19">
        <f t="shared" si="0"/>
        <v>75000</v>
      </c>
      <c r="F26" s="19">
        <f t="shared" si="0"/>
        <v>50000</v>
      </c>
      <c r="G26" s="38" t="s">
        <v>23</v>
      </c>
      <c r="H26" s="35">
        <f t="shared" si="1"/>
        <v>45000</v>
      </c>
      <c r="I26" s="71">
        <f t="shared" si="2"/>
        <v>30000</v>
      </c>
      <c r="J26" s="96">
        <f t="shared" si="3"/>
        <v>60000</v>
      </c>
      <c r="M26" s="2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3:39" x14ac:dyDescent="0.35">
      <c r="C27" s="15"/>
      <c r="D27" s="34" t="s">
        <v>13</v>
      </c>
      <c r="E27" s="19">
        <f t="shared" si="0"/>
        <v>75000</v>
      </c>
      <c r="F27" s="19">
        <f t="shared" si="0"/>
        <v>62500</v>
      </c>
      <c r="G27" s="34" t="s">
        <v>24</v>
      </c>
      <c r="H27" s="35">
        <f t="shared" si="1"/>
        <v>60000</v>
      </c>
      <c r="I27" s="71">
        <f t="shared" si="2"/>
        <v>60000</v>
      </c>
      <c r="J27" s="96">
        <f t="shared" si="3"/>
        <v>80000</v>
      </c>
      <c r="M27" s="2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3:39" x14ac:dyDescent="0.35">
      <c r="C28" s="15"/>
      <c r="D28" s="34" t="s">
        <v>14</v>
      </c>
      <c r="E28" s="19">
        <f t="shared" si="0"/>
        <v>14550000</v>
      </c>
      <c r="F28" s="19">
        <f t="shared" si="0"/>
        <v>14550000</v>
      </c>
      <c r="G28" s="34" t="s">
        <v>14</v>
      </c>
      <c r="H28" s="35">
        <f t="shared" si="1"/>
        <v>14550000</v>
      </c>
      <c r="I28" s="71">
        <f t="shared" si="2"/>
        <v>14550000</v>
      </c>
      <c r="J28" s="96">
        <f t="shared" si="3"/>
        <v>100000</v>
      </c>
      <c r="M28" s="2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3:39" x14ac:dyDescent="0.35">
      <c r="C29" s="20"/>
      <c r="J29" s="96">
        <f t="shared" si="3"/>
        <v>14280000</v>
      </c>
      <c r="M29" s="2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3:39" x14ac:dyDescent="0.35">
      <c r="D30" s="39" t="s">
        <v>33</v>
      </c>
      <c r="E30" s="22">
        <f>SUM(E22:E28)</f>
        <v>14812500</v>
      </c>
      <c r="F30" s="22">
        <f>SUM(F22:F28)</f>
        <v>14737500</v>
      </c>
      <c r="G30" s="39" t="s">
        <v>33</v>
      </c>
      <c r="H30" s="22">
        <f>SUM(H23:H28)</f>
        <v>14700000</v>
      </c>
      <c r="I30" s="68">
        <f>IF(I20&lt;=700000,SUM(I23:I28),IF(SUM(I23:I28)&gt;(I20-700000),(I20-700000),SUM(I23:I28)))</f>
        <v>14690000</v>
      </c>
      <c r="J30" s="96">
        <f>IF(J20&lt;=1200000,SUM(J23:J29),IF(SUM(J23:J29)&gt;(J20-1200000),(J20-1200000),SUM(J23:J29)))</f>
        <v>14580000</v>
      </c>
      <c r="M30" s="2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3:39" x14ac:dyDescent="0.35">
      <c r="D31" s="40" t="s">
        <v>32</v>
      </c>
      <c r="E31" s="30">
        <f>IF(E20&lt;=500000,E30,0)</f>
        <v>0</v>
      </c>
      <c r="F31" s="14">
        <v>0</v>
      </c>
      <c r="G31" s="40" t="s">
        <v>32</v>
      </c>
      <c r="H31" s="14">
        <f>IF(H20&lt;=700000,H30,0)</f>
        <v>0</v>
      </c>
      <c r="I31" s="14">
        <f>IF(I20&lt;=700000,I30,0)</f>
        <v>0</v>
      </c>
      <c r="J31" s="14">
        <f>IF(J20&lt;=700000,J30,0)</f>
        <v>0</v>
      </c>
      <c r="M31" s="2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3:39" x14ac:dyDescent="0.35">
      <c r="D32" s="34" t="s">
        <v>37</v>
      </c>
      <c r="E32" s="30">
        <f>IF(E20&lt;=5000000,E30*0,IF(E20&lt;=10000000,E30*0.1,IF(E20&lt;=20000000,E30*0.15,IF(E20&lt;=50000000,E30*0.25,E30*0.37))))</f>
        <v>3703125</v>
      </c>
      <c r="F32" s="30">
        <f>IF(F20&lt;=5000000,F30*0,IF(F20&lt;=10000000,F30*0.1,IF(F20&lt;=20000000,F30*0.15,IF(F20&lt;=50000000,F30*0.25,F30*0.37))))</f>
        <v>3684375</v>
      </c>
      <c r="G32" s="43"/>
      <c r="H32" s="30">
        <f>IF(H20&lt;=5000000,H30*0,IF(H20&lt;=10000000,H30*0.1,IF(H20&lt;=20000000,H30*0.15,IF(H20&lt;=50000000,H30*0.25,H30*0.25))))</f>
        <v>3675000</v>
      </c>
      <c r="I32" s="30">
        <f>IF(I20&lt;=5000000,I30*0,IF(I20&lt;=10000000,I30*0.1,IF(I20&lt;=20000000,I30*0.15,IF(I20&lt;=50000000,I30*0.25,I30*0.25))))</f>
        <v>3672500</v>
      </c>
      <c r="J32" s="30">
        <f>IF(J20&lt;=5000000,J30*0,IF(J20&lt;=10000000,J30*0.1,IF(J20&lt;=20000000,J30*0.15,IF(J20&lt;=50000000,J30*0.25,J30*0.25))))</f>
        <v>3645000</v>
      </c>
      <c r="M32" s="2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35">
      <c r="D33" s="34" t="s">
        <v>44</v>
      </c>
      <c r="E33" s="30">
        <f>E30+E32</f>
        <v>18515625</v>
      </c>
      <c r="F33" s="30">
        <f>F30+F32</f>
        <v>18421875</v>
      </c>
      <c r="G33" s="43"/>
      <c r="H33" s="30">
        <f>H30+H32</f>
        <v>18375000</v>
      </c>
      <c r="I33" s="30">
        <f>I30+I32</f>
        <v>18362500</v>
      </c>
      <c r="J33" s="30">
        <f>J30+J32</f>
        <v>18225000</v>
      </c>
      <c r="M33" s="2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5">
      <c r="D34" s="34" t="s">
        <v>35</v>
      </c>
      <c r="E34" s="30">
        <f>(E33-E31)*4%</f>
        <v>740625</v>
      </c>
      <c r="F34" s="30">
        <f>(F33-F31)*4%</f>
        <v>736875</v>
      </c>
      <c r="G34" s="42"/>
      <c r="H34" s="30">
        <f>(H33-H31)*4%</f>
        <v>735000</v>
      </c>
      <c r="I34" s="30">
        <f>(I33-I31)*4%</f>
        <v>734500</v>
      </c>
      <c r="J34" s="30">
        <f>(J33-J31)*4%</f>
        <v>729000</v>
      </c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35">
      <c r="D35" s="39" t="s">
        <v>31</v>
      </c>
      <c r="E35" s="30">
        <f>E30-E31+E34+E32</f>
        <v>19256250</v>
      </c>
      <c r="F35" s="30">
        <f>F30-F31+F34</f>
        <v>15474375</v>
      </c>
      <c r="G35" s="40" t="s">
        <v>31</v>
      </c>
      <c r="H35" s="30">
        <f>H30-H31+H34</f>
        <v>15435000</v>
      </c>
      <c r="I35" s="30">
        <f>I30-I31+I34</f>
        <v>15424500</v>
      </c>
      <c r="J35" s="30">
        <f>J30-J31+J34</f>
        <v>15309000</v>
      </c>
      <c r="M35" s="2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35">
      <c r="M36" s="2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35"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35"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35"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35">
      <c r="M40" s="2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35">
      <c r="M41" s="2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35">
      <c r="M42" s="2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35">
      <c r="M43" s="2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35"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35"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35"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35"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35">
      <c r="B48" s="1"/>
      <c r="C48" s="23" t="s">
        <v>7</v>
      </c>
      <c r="D48" s="23" t="s">
        <v>26</v>
      </c>
      <c r="G48" s="23" t="s">
        <v>27</v>
      </c>
      <c r="H48" t="s">
        <v>25</v>
      </c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35">
      <c r="B49" s="6" t="s">
        <v>8</v>
      </c>
      <c r="C49" s="7">
        <f>MIN(E$20,250000)</f>
        <v>250000</v>
      </c>
      <c r="D49" s="8">
        <f>MIN(F$20,250000)</f>
        <v>250000</v>
      </c>
      <c r="F49" s="6" t="s">
        <v>20</v>
      </c>
      <c r="G49" s="2">
        <f>MIN($H$20,300000)</f>
        <v>300000</v>
      </c>
      <c r="H49" s="5">
        <v>0</v>
      </c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35">
      <c r="B50" s="9" t="s">
        <v>9</v>
      </c>
      <c r="C50" s="3">
        <f>MAX(MIN(E$20-C49,250000),0)</f>
        <v>250000</v>
      </c>
      <c r="D50" s="10">
        <f>MAX(MIN(F$20-D49,250000),0)</f>
        <v>250000</v>
      </c>
      <c r="F50" s="9" t="s">
        <v>21</v>
      </c>
      <c r="G50" s="2">
        <f>MAX(MIN(H$20-$G$49,300000),0)</f>
        <v>300000</v>
      </c>
      <c r="H50" s="5">
        <v>0.05</v>
      </c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5">
      <c r="B51" s="9" t="s">
        <v>10</v>
      </c>
      <c r="C51" s="3">
        <f>MAX(MIN(E$20-C$50-C$49,250000),0)</f>
        <v>250000</v>
      </c>
      <c r="D51" s="10">
        <f>MAX(MIN(F$20-D$50-D$49,250000),0)</f>
        <v>250000</v>
      </c>
      <c r="F51" s="9" t="s">
        <v>22</v>
      </c>
      <c r="G51" s="2">
        <f>MAX(MIN(H$20-$G$50-$G$49,300000),0)</f>
        <v>300000</v>
      </c>
      <c r="H51" s="5">
        <v>0.1</v>
      </c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35">
      <c r="B52" s="9" t="s">
        <v>11</v>
      </c>
      <c r="C52" s="3">
        <f>MAX(MIN(E$20-C$50-C$51-C$49,250000),0)</f>
        <v>250000</v>
      </c>
      <c r="D52" s="10">
        <f>MAX(MIN(F$20-D$50-D$51-D$49,250000),0)</f>
        <v>250000</v>
      </c>
      <c r="F52" s="27" t="s">
        <v>23</v>
      </c>
      <c r="G52" s="2">
        <f>MAX(MIN(H$20-$G$49-$G$50-$G$51,300000),0)</f>
        <v>300000</v>
      </c>
      <c r="H52" s="5">
        <v>0.15</v>
      </c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35">
      <c r="B53" s="9" t="s">
        <v>12</v>
      </c>
      <c r="C53" s="3">
        <f>MAX(MIN(E$20-C$50-C$51-C$52-C$49,250000),0)</f>
        <v>250000</v>
      </c>
      <c r="D53" s="10">
        <f>MAX(MIN(F$20-D$50-D$51-D$52-D$49,250000),0)</f>
        <v>250000</v>
      </c>
      <c r="F53" s="9" t="s">
        <v>24</v>
      </c>
      <c r="G53" s="2">
        <f>MAX(MIN(H$20-$G$49-$G$50-$G$51-$G$52,300000),0)</f>
        <v>300000</v>
      </c>
      <c r="H53" s="5">
        <v>0.2</v>
      </c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35">
      <c r="B54" s="9" t="s">
        <v>13</v>
      </c>
      <c r="C54" s="3">
        <f>MAX(MIN(E$20-C$50-C$51-C$52-C$49-C$53,250000),0)</f>
        <v>250000</v>
      </c>
      <c r="D54" s="10">
        <f>MAX(MIN(F$20-D$50-D$51-D$52-D$49-D$53,250000),0)</f>
        <v>250000</v>
      </c>
      <c r="F54" s="9" t="s">
        <v>14</v>
      </c>
      <c r="G54" s="2">
        <f>MAX(MIN(H$20-$G$49-$G$50-$G$51-$G$52-$G$53,F$20),0)</f>
        <v>48500000</v>
      </c>
      <c r="H54" s="5">
        <v>0.3</v>
      </c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35">
      <c r="B55" s="9" t="s">
        <v>14</v>
      </c>
      <c r="C55" s="3">
        <f>MAX(MIN(E$20-C$50-C$51-C$52-C$49-C$53-C$54,E$20),0)</f>
        <v>48500000</v>
      </c>
      <c r="D55" s="10">
        <f>MAX(MIN(F$20-D$50-D$51-D$52-D$49-D$53-D$54,F$20),0)</f>
        <v>48500000</v>
      </c>
      <c r="F55" s="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35">
      <c r="B56" s="11" t="s">
        <v>15</v>
      </c>
      <c r="C56" s="12">
        <f>SUM(C49:C55)</f>
        <v>50000000</v>
      </c>
      <c r="D56" s="13">
        <f>SUM(D49:D55)</f>
        <v>50000000</v>
      </c>
      <c r="F56" s="11"/>
      <c r="G56" s="3"/>
      <c r="H56" s="3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35"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35">
      <c r="C58" t="s">
        <v>17</v>
      </c>
      <c r="D58" s="23" t="s">
        <v>26</v>
      </c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35">
      <c r="C59" s="5">
        <v>0</v>
      </c>
      <c r="D59" s="5">
        <v>0</v>
      </c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35">
      <c r="C60" s="5">
        <v>0.05</v>
      </c>
      <c r="D60" s="5">
        <v>0.05</v>
      </c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35">
      <c r="C61" s="5">
        <v>0.2</v>
      </c>
      <c r="D61" s="5">
        <v>0.1</v>
      </c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35">
      <c r="C62" s="5">
        <v>0.2</v>
      </c>
      <c r="D62" s="5">
        <v>0.15</v>
      </c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35">
      <c r="C63" s="5">
        <v>0.3</v>
      </c>
      <c r="D63" s="5">
        <v>0.2</v>
      </c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35">
      <c r="C64" s="5">
        <v>0.3</v>
      </c>
      <c r="D64" s="5">
        <v>0.25</v>
      </c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5">
      <c r="C65" s="5">
        <v>0.3</v>
      </c>
      <c r="D65" s="5">
        <v>0.3</v>
      </c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5"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35"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35"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5"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5"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5"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5">
      <c r="A72" s="46"/>
      <c r="B72" s="46"/>
      <c r="C72" s="46"/>
      <c r="D72" s="46"/>
      <c r="E72" s="46"/>
      <c r="F72" s="46"/>
      <c r="G72" s="46"/>
      <c r="H72" s="46"/>
      <c r="I72" s="51" t="s">
        <v>51</v>
      </c>
      <c r="J72" s="46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E73" s="46"/>
      <c r="F73" s="46"/>
      <c r="G73" s="46"/>
      <c r="H73" s="46"/>
      <c r="I73" s="83">
        <v>0</v>
      </c>
      <c r="J73" s="46">
        <f t="shared" ref="J73:J78" si="4">D73*I73</f>
        <v>0</v>
      </c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E74" s="46"/>
      <c r="F74" s="46"/>
      <c r="G74" s="46"/>
      <c r="H74" s="46"/>
      <c r="I74" s="83">
        <v>0.05</v>
      </c>
      <c r="J74" s="46">
        <f t="shared" si="4"/>
        <v>20000</v>
      </c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E75" s="46"/>
      <c r="F75" s="46"/>
      <c r="G75" s="46"/>
      <c r="H75" s="46"/>
      <c r="I75" s="83">
        <v>0.1</v>
      </c>
      <c r="J75" s="46">
        <f t="shared" si="4"/>
        <v>30000</v>
      </c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E76" s="46"/>
      <c r="F76" s="46"/>
      <c r="G76" s="46"/>
      <c r="H76" s="46"/>
      <c r="I76" s="83">
        <v>0.15</v>
      </c>
      <c r="J76" s="46">
        <f t="shared" si="4"/>
        <v>30000</v>
      </c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300000</v>
      </c>
      <c r="E77" s="46"/>
      <c r="F77" s="46"/>
      <c r="G77" s="46"/>
      <c r="H77" s="46"/>
      <c r="I77" s="83">
        <v>0.2</v>
      </c>
      <c r="J77" s="46">
        <f t="shared" si="4"/>
        <v>60000</v>
      </c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35">
      <c r="A78">
        <v>1500000</v>
      </c>
      <c r="B78" s="2">
        <f>I20</f>
        <v>50000000</v>
      </c>
      <c r="C78" s="46">
        <f t="shared" si="5"/>
        <v>48500000</v>
      </c>
      <c r="D78" s="48">
        <f>MAX(MIN(I$20-D73-D74-D75-D76-D77,C78),0)</f>
        <v>48500000</v>
      </c>
      <c r="E78" s="46"/>
      <c r="F78" s="46"/>
      <c r="G78" s="46"/>
      <c r="H78" s="46"/>
      <c r="I78" s="83">
        <v>0.3</v>
      </c>
      <c r="J78" s="46">
        <f t="shared" si="4"/>
        <v>14550000</v>
      </c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35">
      <c r="A79" s="46"/>
      <c r="B79" s="46"/>
      <c r="C79" s="46"/>
      <c r="D79" s="48"/>
      <c r="E79" s="46"/>
      <c r="F79" s="46"/>
      <c r="G79" s="46"/>
      <c r="H79" s="46"/>
      <c r="I79" s="53" t="s">
        <v>15</v>
      </c>
      <c r="J79" s="53">
        <f>SUM(J72:J78)</f>
        <v>14690000</v>
      </c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35"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5"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35">
      <c r="A82" s="46"/>
      <c r="B82" s="46"/>
      <c r="C82" s="46"/>
      <c r="D82" s="46"/>
      <c r="E82" s="46"/>
      <c r="F82" s="46"/>
      <c r="G82" s="46"/>
      <c r="H82" s="46"/>
      <c r="I82" s="51" t="s">
        <v>56</v>
      </c>
      <c r="J82" s="46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35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E83" s="46"/>
      <c r="F83" s="46"/>
      <c r="G83" s="46"/>
      <c r="H83" s="46"/>
      <c r="I83" s="83">
        <v>0</v>
      </c>
      <c r="J83" s="46">
        <f t="shared" ref="J83:J89" si="6">D83*I83</f>
        <v>0</v>
      </c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35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E84" s="46"/>
      <c r="F84" s="46"/>
      <c r="G84" s="46"/>
      <c r="H84" s="46"/>
      <c r="I84" s="83">
        <v>0.05</v>
      </c>
      <c r="J84" s="46">
        <f t="shared" si="6"/>
        <v>20000</v>
      </c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5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E85" s="46"/>
      <c r="F85" s="46"/>
      <c r="G85" s="46"/>
      <c r="H85" s="46"/>
      <c r="I85" s="83">
        <v>0.1</v>
      </c>
      <c r="J85" s="46">
        <f t="shared" si="6"/>
        <v>40000</v>
      </c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35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400000</v>
      </c>
      <c r="E86" s="46"/>
      <c r="F86" s="46"/>
      <c r="G86" s="46"/>
      <c r="H86" s="46"/>
      <c r="I86" s="83">
        <v>0.15</v>
      </c>
      <c r="J86" s="46">
        <f t="shared" si="6"/>
        <v>60000</v>
      </c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5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400000</v>
      </c>
      <c r="E87" s="46"/>
      <c r="F87" s="46"/>
      <c r="G87" s="46"/>
      <c r="H87" s="46"/>
      <c r="I87" s="83">
        <v>0.2</v>
      </c>
      <c r="J87" s="46">
        <f t="shared" si="6"/>
        <v>80000</v>
      </c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5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400000</v>
      </c>
      <c r="E88" s="46"/>
      <c r="F88" s="46"/>
      <c r="G88" s="46"/>
      <c r="H88" s="46"/>
      <c r="I88" s="83">
        <v>0.25</v>
      </c>
      <c r="J88" s="46">
        <f t="shared" si="6"/>
        <v>100000</v>
      </c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5">
      <c r="A89" s="46">
        <v>2400000</v>
      </c>
      <c r="B89" s="48">
        <f>J20</f>
        <v>50000000</v>
      </c>
      <c r="C89" s="46">
        <f t="shared" si="7"/>
        <v>47600000</v>
      </c>
      <c r="D89" s="48">
        <f>MAX(MIN(J$20-D84-D85-D86-D87-D88,C89),0)</f>
        <v>47600000</v>
      </c>
      <c r="E89" s="46"/>
      <c r="F89" s="46"/>
      <c r="G89" s="46"/>
      <c r="H89" s="46"/>
      <c r="I89" s="83">
        <v>0.3</v>
      </c>
      <c r="J89" s="46">
        <f t="shared" si="6"/>
        <v>14280000</v>
      </c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5">
      <c r="A90" s="46"/>
      <c r="B90" s="46"/>
      <c r="C90" s="46"/>
      <c r="D90" s="46"/>
      <c r="E90" s="46"/>
      <c r="F90" s="46"/>
      <c r="G90" s="46"/>
      <c r="H90" s="46"/>
      <c r="I90" s="53" t="s">
        <v>15</v>
      </c>
      <c r="J90" s="53">
        <f>SUM(J83:J89)</f>
        <v>14580000</v>
      </c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5"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5"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5"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5"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5"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5"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3:39" x14ac:dyDescent="0.35"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3:39" x14ac:dyDescent="0.35"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3:39" x14ac:dyDescent="0.35"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3:39" x14ac:dyDescent="0.35"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3:39" x14ac:dyDescent="0.35"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3:39" x14ac:dyDescent="0.35"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3:39" x14ac:dyDescent="0.35"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3:39" x14ac:dyDescent="0.35"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3:39" x14ac:dyDescent="0.35"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3:39" x14ac:dyDescent="0.35"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3:39" x14ac:dyDescent="0.35"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3:39" x14ac:dyDescent="0.35"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3:39" x14ac:dyDescent="0.35"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3:39" x14ac:dyDescent="0.35"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3:39" x14ac:dyDescent="0.35"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3:39" x14ac:dyDescent="0.35"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3:39" x14ac:dyDescent="0.35"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3:39" x14ac:dyDescent="0.35"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3:39" x14ac:dyDescent="0.35"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3:39" x14ac:dyDescent="0.35"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20" spans="13:39" x14ac:dyDescent="0.35">
      <c r="M120" s="28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13:39" x14ac:dyDescent="0.35">
      <c r="M121" s="29"/>
    </row>
    <row r="122" spans="13:39" x14ac:dyDescent="0.35">
      <c r="M122" s="29"/>
    </row>
    <row r="123" spans="13:39" x14ac:dyDescent="0.35">
      <c r="M123" s="29"/>
    </row>
    <row r="124" spans="13:39" x14ac:dyDescent="0.35">
      <c r="M124" s="29"/>
    </row>
    <row r="125" spans="13:39" x14ac:dyDescent="0.35">
      <c r="M125" s="29"/>
    </row>
    <row r="126" spans="13:39" x14ac:dyDescent="0.35">
      <c r="M126" s="29"/>
    </row>
    <row r="127" spans="13:39" x14ac:dyDescent="0.35">
      <c r="M127" s="29"/>
    </row>
    <row r="128" spans="13:39" x14ac:dyDescent="0.35">
      <c r="M128" s="29"/>
    </row>
    <row r="129" spans="13:13" x14ac:dyDescent="0.35">
      <c r="M129" s="29"/>
    </row>
    <row r="130" spans="13:13" x14ac:dyDescent="0.35">
      <c r="M130" s="29"/>
    </row>
    <row r="131" spans="13:13" x14ac:dyDescent="0.35">
      <c r="M131" s="29"/>
    </row>
    <row r="132" spans="13:13" x14ac:dyDescent="0.35">
      <c r="M132" s="29"/>
    </row>
    <row r="133" spans="13:13" x14ac:dyDescent="0.35">
      <c r="M133" s="29"/>
    </row>
    <row r="134" spans="13:13" x14ac:dyDescent="0.35">
      <c r="M134" s="29"/>
    </row>
    <row r="135" spans="13:13" x14ac:dyDescent="0.35">
      <c r="M135" s="29"/>
    </row>
    <row r="136" spans="13:13" x14ac:dyDescent="0.35">
      <c r="M136" s="29"/>
    </row>
    <row r="137" spans="13:13" x14ac:dyDescent="0.35">
      <c r="M137" s="29"/>
    </row>
    <row r="138" spans="13:13" x14ac:dyDescent="0.35">
      <c r="M138" s="29"/>
    </row>
    <row r="139" spans="13:13" x14ac:dyDescent="0.35">
      <c r="M139" s="29"/>
    </row>
    <row r="140" spans="13:13" x14ac:dyDescent="0.35">
      <c r="M140" s="29"/>
    </row>
    <row r="141" spans="13:13" x14ac:dyDescent="0.35">
      <c r="M141" s="29"/>
    </row>
    <row r="142" spans="13:13" x14ac:dyDescent="0.35">
      <c r="M142" s="29"/>
    </row>
    <row r="143" spans="13:13" x14ac:dyDescent="0.35">
      <c r="M143" s="29"/>
    </row>
    <row r="144" spans="13:13" x14ac:dyDescent="0.35">
      <c r="M144" s="29"/>
    </row>
    <row r="145" spans="13:13" x14ac:dyDescent="0.35">
      <c r="M145" s="29"/>
    </row>
    <row r="146" spans="13:13" x14ac:dyDescent="0.35">
      <c r="M146" s="29"/>
    </row>
    <row r="147" spans="13:13" x14ac:dyDescent="0.35">
      <c r="M147" s="29"/>
    </row>
    <row r="148" spans="13:13" x14ac:dyDescent="0.35">
      <c r="M148" s="29"/>
    </row>
    <row r="149" spans="13:13" x14ac:dyDescent="0.35">
      <c r="M149" s="29"/>
    </row>
    <row r="150" spans="13:13" x14ac:dyDescent="0.35">
      <c r="M150" s="29"/>
    </row>
    <row r="151" spans="13:13" x14ac:dyDescent="0.35">
      <c r="M151" s="29"/>
    </row>
    <row r="152" spans="13:13" x14ac:dyDescent="0.35">
      <c r="M152" s="29"/>
    </row>
    <row r="153" spans="13:13" x14ac:dyDescent="0.35">
      <c r="M153" s="29"/>
    </row>
    <row r="154" spans="13:13" x14ac:dyDescent="0.35">
      <c r="M154" s="29"/>
    </row>
    <row r="155" spans="13:13" x14ac:dyDescent="0.35">
      <c r="M155" s="29"/>
    </row>
    <row r="156" spans="13:13" x14ac:dyDescent="0.35">
      <c r="M156" s="29"/>
    </row>
    <row r="157" spans="13:13" x14ac:dyDescent="0.35">
      <c r="M157" s="29"/>
    </row>
    <row r="158" spans="13:13" x14ac:dyDescent="0.35">
      <c r="M158" s="29"/>
    </row>
    <row r="159" spans="13:13" x14ac:dyDescent="0.35">
      <c r="M159" s="29"/>
    </row>
    <row r="160" spans="13:13" x14ac:dyDescent="0.35">
      <c r="M160" s="29"/>
    </row>
    <row r="161" spans="13:13" x14ac:dyDescent="0.35">
      <c r="M161" s="29"/>
    </row>
    <row r="162" spans="13:13" x14ac:dyDescent="0.35">
      <c r="M162" s="29"/>
    </row>
    <row r="163" spans="13:13" x14ac:dyDescent="0.35">
      <c r="M163" s="29"/>
    </row>
    <row r="164" spans="13:13" x14ac:dyDescent="0.35">
      <c r="M164" s="29"/>
    </row>
    <row r="165" spans="13:13" x14ac:dyDescent="0.35">
      <c r="M165" s="29"/>
    </row>
    <row r="166" spans="13:13" x14ac:dyDescent="0.35">
      <c r="M166" s="29"/>
    </row>
    <row r="167" spans="13:13" x14ac:dyDescent="0.35">
      <c r="M167" s="29"/>
    </row>
    <row r="168" spans="13:13" x14ac:dyDescent="0.35">
      <c r="M168" s="29"/>
    </row>
    <row r="169" spans="13:13" x14ac:dyDescent="0.35">
      <c r="M169" s="29"/>
    </row>
    <row r="170" spans="13:13" x14ac:dyDescent="0.35">
      <c r="M170" s="29"/>
    </row>
    <row r="171" spans="13:13" x14ac:dyDescent="0.35">
      <c r="M171" s="29"/>
    </row>
    <row r="172" spans="13:13" x14ac:dyDescent="0.35">
      <c r="M172" s="29"/>
    </row>
    <row r="173" spans="13:13" x14ac:dyDescent="0.35">
      <c r="M173" s="29"/>
    </row>
    <row r="174" spans="13:13" x14ac:dyDescent="0.35">
      <c r="M174" s="29"/>
    </row>
    <row r="175" spans="13:13" x14ac:dyDescent="0.35">
      <c r="M175" s="29"/>
    </row>
    <row r="176" spans="13:13" x14ac:dyDescent="0.35">
      <c r="M176" s="29"/>
    </row>
    <row r="177" spans="13:13" x14ac:dyDescent="0.35">
      <c r="M177" s="29"/>
    </row>
    <row r="178" spans="13:13" x14ac:dyDescent="0.35">
      <c r="M178" s="29"/>
    </row>
    <row r="179" spans="13:13" x14ac:dyDescent="0.35">
      <c r="M179" s="29"/>
    </row>
    <row r="180" spans="13:13" x14ac:dyDescent="0.35">
      <c r="M180" s="29"/>
    </row>
    <row r="181" spans="13:13" x14ac:dyDescent="0.35">
      <c r="M181" s="29"/>
    </row>
    <row r="182" spans="13:13" x14ac:dyDescent="0.35">
      <c r="M182" s="29"/>
    </row>
    <row r="183" spans="13:13" x14ac:dyDescent="0.35">
      <c r="M183" s="29"/>
    </row>
    <row r="184" spans="13:13" x14ac:dyDescent="0.35">
      <c r="M184" s="29"/>
    </row>
    <row r="185" spans="13:13" x14ac:dyDescent="0.35">
      <c r="M185" s="29"/>
    </row>
    <row r="186" spans="13:13" x14ac:dyDescent="0.35">
      <c r="M186" s="29"/>
    </row>
    <row r="187" spans="13:13" x14ac:dyDescent="0.35">
      <c r="M187" s="29"/>
    </row>
    <row r="188" spans="13:13" x14ac:dyDescent="0.35">
      <c r="M188" s="29"/>
    </row>
    <row r="189" spans="13:13" x14ac:dyDescent="0.35">
      <c r="M189" s="29"/>
    </row>
    <row r="190" spans="13:13" x14ac:dyDescent="0.35">
      <c r="M190" s="29"/>
    </row>
    <row r="191" spans="13:13" x14ac:dyDescent="0.35">
      <c r="M191" s="29"/>
    </row>
    <row r="192" spans="13:13" x14ac:dyDescent="0.35">
      <c r="M192" s="29"/>
    </row>
    <row r="193" spans="13:13" x14ac:dyDescent="0.35">
      <c r="M193" s="29"/>
    </row>
    <row r="194" spans="13:13" x14ac:dyDescent="0.35">
      <c r="M194" s="29"/>
    </row>
    <row r="195" spans="13:13" x14ac:dyDescent="0.35">
      <c r="M195" s="29"/>
    </row>
    <row r="196" spans="13:13" x14ac:dyDescent="0.35">
      <c r="M196" s="29"/>
    </row>
    <row r="197" spans="13:13" x14ac:dyDescent="0.35">
      <c r="M197" s="29"/>
    </row>
    <row r="198" spans="13:13" x14ac:dyDescent="0.35">
      <c r="M198" s="29"/>
    </row>
    <row r="199" spans="13:13" x14ac:dyDescent="0.35">
      <c r="M199" s="29"/>
    </row>
    <row r="200" spans="13:13" x14ac:dyDescent="0.35">
      <c r="M200" s="29"/>
    </row>
    <row r="201" spans="13:13" x14ac:dyDescent="0.35">
      <c r="M201" s="29"/>
    </row>
    <row r="202" spans="13:13" x14ac:dyDescent="0.35">
      <c r="M202" s="29"/>
    </row>
    <row r="203" spans="13:13" x14ac:dyDescent="0.35">
      <c r="M203" s="29"/>
    </row>
    <row r="204" spans="13:13" x14ac:dyDescent="0.35">
      <c r="M204" s="29"/>
    </row>
    <row r="205" spans="13:13" x14ac:dyDescent="0.35">
      <c r="M205" s="29"/>
    </row>
    <row r="206" spans="13:13" x14ac:dyDescent="0.35">
      <c r="M206" s="29"/>
    </row>
    <row r="207" spans="13:13" x14ac:dyDescent="0.35">
      <c r="M207" s="29"/>
    </row>
    <row r="208" spans="13:13" x14ac:dyDescent="0.35">
      <c r="M208" s="29"/>
    </row>
    <row r="209" spans="13:13" x14ac:dyDescent="0.35">
      <c r="M209" s="29"/>
    </row>
    <row r="210" spans="13:13" x14ac:dyDescent="0.35">
      <c r="M210" s="29"/>
    </row>
    <row r="211" spans="13:13" x14ac:dyDescent="0.35">
      <c r="M211" s="29"/>
    </row>
    <row r="212" spans="13:13" x14ac:dyDescent="0.35">
      <c r="M212" s="29"/>
    </row>
    <row r="213" spans="13:13" x14ac:dyDescent="0.35">
      <c r="M213" s="29"/>
    </row>
    <row r="214" spans="13:13" x14ac:dyDescent="0.35">
      <c r="M214" s="29"/>
    </row>
    <row r="215" spans="13:13" x14ac:dyDescent="0.35">
      <c r="M215" s="29"/>
    </row>
    <row r="216" spans="13:13" x14ac:dyDescent="0.35">
      <c r="M216" s="29"/>
    </row>
    <row r="217" spans="13:13" x14ac:dyDescent="0.35">
      <c r="M217" s="29"/>
    </row>
    <row r="218" spans="13:13" x14ac:dyDescent="0.35">
      <c r="M218" s="29"/>
    </row>
    <row r="219" spans="13:13" x14ac:dyDescent="0.35">
      <c r="M219" s="29"/>
    </row>
    <row r="220" spans="13:13" x14ac:dyDescent="0.35">
      <c r="M220" s="29"/>
    </row>
    <row r="221" spans="13:13" x14ac:dyDescent="0.35">
      <c r="M221" s="29"/>
    </row>
    <row r="222" spans="13:13" x14ac:dyDescent="0.35">
      <c r="M222" s="2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A4F12-55B2-409C-BFAF-7AC1E81CF070}">
  <sheetPr codeName="Sheet3"/>
  <dimension ref="A3:AM222"/>
  <sheetViews>
    <sheetView showGridLines="0" topLeftCell="A81" zoomScale="130" zoomScaleNormal="130" workbookViewId="0">
      <selection activeCell="D89" sqref="D89"/>
    </sheetView>
  </sheetViews>
  <sheetFormatPr defaultRowHeight="14.5" x14ac:dyDescent="0.35"/>
  <cols>
    <col min="1" max="1" width="10.54296875" customWidth="1"/>
    <col min="3" max="3" width="23.453125" bestFit="1" customWidth="1"/>
    <col min="4" max="4" width="31" customWidth="1"/>
    <col min="5" max="5" width="22.08984375" customWidth="1"/>
    <col min="6" max="6" width="23.6328125" bestFit="1" customWidth="1"/>
    <col min="7" max="7" width="21.1796875" bestFit="1" customWidth="1"/>
    <col min="8" max="8" width="20.81640625" bestFit="1" customWidth="1"/>
    <col min="9" max="10" width="12.54296875" customWidth="1"/>
    <col min="12" max="12" width="4.36328125" bestFit="1" customWidth="1"/>
    <col min="13" max="13" width="15.453125" bestFit="1" customWidth="1"/>
    <col min="14" max="14" width="11.453125" bestFit="1" customWidth="1"/>
    <col min="15" max="15" width="11.54296875" bestFit="1" customWidth="1"/>
    <col min="16" max="19" width="13.453125" bestFit="1" customWidth="1"/>
    <col min="20" max="23" width="13.90625" bestFit="1" customWidth="1"/>
    <col min="24" max="24" width="15" bestFit="1" customWidth="1"/>
    <col min="25" max="39" width="13.90625" bestFit="1" customWidth="1"/>
  </cols>
  <sheetData>
    <row r="3" spans="3:39" ht="29" x14ac:dyDescent="0.35">
      <c r="C3" s="25" t="s">
        <v>19</v>
      </c>
    </row>
    <row r="5" spans="3:39" x14ac:dyDescent="0.35">
      <c r="D5" t="s">
        <v>36</v>
      </c>
      <c r="E5" s="41" t="str">
        <f>'After Budget 2025'!E5</f>
        <v>N</v>
      </c>
    </row>
    <row r="6" spans="3:39" x14ac:dyDescent="0.35">
      <c r="C6" s="2"/>
      <c r="D6" s="2" t="s">
        <v>34</v>
      </c>
      <c r="E6" s="2"/>
      <c r="F6" s="2"/>
      <c r="G6" s="2"/>
      <c r="H6" s="2"/>
      <c r="I6" s="2"/>
      <c r="J6" s="2"/>
      <c r="K6" s="2"/>
      <c r="L6" s="2"/>
      <c r="M6" s="2"/>
    </row>
    <row r="7" spans="3:39" x14ac:dyDescent="0.35">
      <c r="G7" s="4"/>
    </row>
    <row r="8" spans="3:39" x14ac:dyDescent="0.35">
      <c r="C8" s="14"/>
      <c r="D8" s="14"/>
      <c r="E8" s="23" t="s">
        <v>29</v>
      </c>
      <c r="F8" s="23" t="s">
        <v>28</v>
      </c>
      <c r="G8" s="31"/>
      <c r="H8" s="23" t="s">
        <v>30</v>
      </c>
      <c r="I8" s="51" t="s">
        <v>52</v>
      </c>
      <c r="J8" s="51" t="s">
        <v>55</v>
      </c>
      <c r="N8" s="1"/>
    </row>
    <row r="9" spans="3:39" x14ac:dyDescent="0.35">
      <c r="C9" s="15"/>
      <c r="D9" s="32" t="s">
        <v>0</v>
      </c>
      <c r="E9" s="16">
        <v>20000000</v>
      </c>
      <c r="F9" s="21">
        <f>E9</f>
        <v>20000000</v>
      </c>
      <c r="G9" s="31"/>
      <c r="H9" s="21">
        <f>F9</f>
        <v>20000000</v>
      </c>
      <c r="I9" s="57">
        <f>H9</f>
        <v>20000000</v>
      </c>
      <c r="J9" s="2">
        <f>H9</f>
        <v>20000000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3:39" ht="15" customHeight="1" x14ac:dyDescent="0.35">
      <c r="C10" s="15"/>
      <c r="D10" s="33" t="s">
        <v>2</v>
      </c>
      <c r="E10" s="17">
        <v>0</v>
      </c>
      <c r="F10" s="17"/>
      <c r="G10" s="31"/>
      <c r="H10" s="17">
        <v>0</v>
      </c>
      <c r="I10" s="52">
        <f>IF(E5="Y",-75000,0)</f>
        <v>0</v>
      </c>
      <c r="J10">
        <f>IF(E5="Y",-75000,0)</f>
        <v>0</v>
      </c>
      <c r="L10" s="98"/>
      <c r="M10" s="2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3:39" x14ac:dyDescent="0.35">
      <c r="C11" s="18" t="s">
        <v>1</v>
      </c>
      <c r="D11" s="34" t="s">
        <v>3</v>
      </c>
      <c r="E11" s="16">
        <v>0</v>
      </c>
      <c r="F11" s="19">
        <v>0</v>
      </c>
      <c r="G11" s="31"/>
      <c r="H11" s="19">
        <v>0</v>
      </c>
      <c r="I11" s="64">
        <v>0</v>
      </c>
      <c r="J11" s="64">
        <v>0</v>
      </c>
      <c r="L11" s="98"/>
      <c r="M11" s="2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3:39" x14ac:dyDescent="0.35">
      <c r="C12" s="15"/>
      <c r="D12" s="34" t="s">
        <v>41</v>
      </c>
      <c r="E12" s="16">
        <v>0</v>
      </c>
      <c r="F12" s="19">
        <f>E12</f>
        <v>0</v>
      </c>
      <c r="G12" s="31"/>
      <c r="H12" s="19">
        <f>E12</f>
        <v>0</v>
      </c>
      <c r="I12" s="94">
        <f>E12</f>
        <v>0</v>
      </c>
      <c r="J12" s="2">
        <f>E12</f>
        <v>0</v>
      </c>
      <c r="L12" s="98"/>
      <c r="M12" s="2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3:39" x14ac:dyDescent="0.35">
      <c r="C13" s="15"/>
      <c r="D13" s="34" t="s">
        <v>38</v>
      </c>
      <c r="E13" s="16">
        <v>0</v>
      </c>
      <c r="F13" s="19">
        <v>0</v>
      </c>
      <c r="G13" s="31"/>
      <c r="H13" s="19">
        <v>0</v>
      </c>
      <c r="I13" s="64">
        <v>0</v>
      </c>
      <c r="J13" s="64">
        <v>0</v>
      </c>
      <c r="L13" s="98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3:39" x14ac:dyDescent="0.35">
      <c r="C14" s="15"/>
      <c r="D14" s="34" t="s">
        <v>4</v>
      </c>
      <c r="E14" s="16">
        <v>0</v>
      </c>
      <c r="F14" s="19">
        <v>0</v>
      </c>
      <c r="G14" s="31"/>
      <c r="H14" s="19">
        <v>0</v>
      </c>
      <c r="I14" s="64">
        <v>0</v>
      </c>
      <c r="J14" s="64">
        <v>0</v>
      </c>
      <c r="L14" s="98"/>
      <c r="M14" s="2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3:39" x14ac:dyDescent="0.35">
      <c r="C15" s="15"/>
      <c r="D15" s="34" t="s">
        <v>5</v>
      </c>
      <c r="E15" s="16"/>
      <c r="F15" s="19">
        <v>0</v>
      </c>
      <c r="G15" s="31"/>
      <c r="H15" s="19">
        <v>0</v>
      </c>
      <c r="I15" s="64">
        <v>0</v>
      </c>
      <c r="J15" s="64">
        <v>0</v>
      </c>
      <c r="L15" s="98"/>
      <c r="M15" s="2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3:39" x14ac:dyDescent="0.35">
      <c r="C16" s="15"/>
      <c r="D16" s="34" t="s">
        <v>39</v>
      </c>
      <c r="E16" s="16"/>
      <c r="F16" s="19">
        <v>0</v>
      </c>
      <c r="G16" s="31"/>
      <c r="H16" s="19">
        <v>0</v>
      </c>
      <c r="I16" s="64">
        <v>0</v>
      </c>
      <c r="J16" s="64">
        <v>0</v>
      </c>
      <c r="L16" s="98"/>
      <c r="M16" s="2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3:39" x14ac:dyDescent="0.35">
      <c r="C17" s="15"/>
      <c r="D17" s="34" t="s">
        <v>40</v>
      </c>
      <c r="E17" s="16">
        <v>0</v>
      </c>
      <c r="F17" s="19">
        <v>0</v>
      </c>
      <c r="G17" s="31"/>
      <c r="H17" s="19">
        <v>0</v>
      </c>
      <c r="I17" s="64">
        <v>0</v>
      </c>
      <c r="J17" s="64">
        <v>0</v>
      </c>
      <c r="L17" s="98"/>
      <c r="M17" s="2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3:39" x14ac:dyDescent="0.35">
      <c r="C18" s="15"/>
      <c r="D18" s="34" t="s">
        <v>42</v>
      </c>
      <c r="E18" s="16"/>
      <c r="F18" s="19">
        <v>0</v>
      </c>
      <c r="G18" s="31"/>
      <c r="H18" s="19">
        <v>0</v>
      </c>
      <c r="I18" s="64">
        <v>0</v>
      </c>
      <c r="J18" s="64">
        <v>0</v>
      </c>
      <c r="L18" s="98"/>
      <c r="M18" s="2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3:39" x14ac:dyDescent="0.35">
      <c r="C19" s="15"/>
      <c r="D19" s="34" t="s">
        <v>18</v>
      </c>
      <c r="E19" s="16">
        <v>0</v>
      </c>
      <c r="F19" s="44">
        <f>SUM(F10:F18)</f>
        <v>0</v>
      </c>
      <c r="G19" s="31"/>
      <c r="H19" s="26">
        <f>SUM(H10:H18)</f>
        <v>0</v>
      </c>
      <c r="I19" s="66">
        <f>SUM(I10:I18)</f>
        <v>0</v>
      </c>
      <c r="J19" s="66">
        <f>SUM(J10:J18)</f>
        <v>0</v>
      </c>
      <c r="L19" s="98"/>
      <c r="M19" s="2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3:39" x14ac:dyDescent="0.35">
      <c r="C20" s="15"/>
      <c r="D20" s="23" t="s">
        <v>6</v>
      </c>
      <c r="E20" s="24">
        <f>E19+E9</f>
        <v>20000000</v>
      </c>
      <c r="F20" s="22">
        <f>F9</f>
        <v>20000000</v>
      </c>
      <c r="G20" s="31"/>
      <c r="H20" s="22">
        <f>+H19+H9</f>
        <v>20000000</v>
      </c>
      <c r="I20" s="68">
        <f>+I19+I9</f>
        <v>20000000</v>
      </c>
      <c r="J20" s="68">
        <f>+J19+J9</f>
        <v>20000000</v>
      </c>
      <c r="M20" s="2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3:39" x14ac:dyDescent="0.35">
      <c r="C21" s="15"/>
      <c r="D21" s="35"/>
      <c r="E21" s="35"/>
      <c r="F21" s="35"/>
      <c r="G21" s="31"/>
      <c r="H21" s="31"/>
      <c r="I21" s="53"/>
      <c r="M21" s="2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3:39" x14ac:dyDescent="0.35">
      <c r="C22" s="15" t="s">
        <v>16</v>
      </c>
      <c r="D22" s="34" t="s">
        <v>8</v>
      </c>
      <c r="E22" s="19">
        <f t="shared" ref="E22:F28" si="0">C49*C59</f>
        <v>0</v>
      </c>
      <c r="F22" s="19">
        <f t="shared" si="0"/>
        <v>0</v>
      </c>
      <c r="G22" s="36" t="s">
        <v>16</v>
      </c>
      <c r="H22" s="23" t="s">
        <v>30</v>
      </c>
      <c r="I22" s="51" t="s">
        <v>52</v>
      </c>
      <c r="J22" s="51" t="s">
        <v>55</v>
      </c>
      <c r="M22" s="2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3:39" x14ac:dyDescent="0.35">
      <c r="C23" s="15"/>
      <c r="D23" s="34" t="s">
        <v>9</v>
      </c>
      <c r="E23" s="19">
        <f t="shared" si="0"/>
        <v>12500</v>
      </c>
      <c r="F23" s="19">
        <f t="shared" si="0"/>
        <v>12500</v>
      </c>
      <c r="G23" s="37" t="s">
        <v>20</v>
      </c>
      <c r="H23" s="35">
        <f t="shared" ref="H23:H28" si="1">G49*H49</f>
        <v>0</v>
      </c>
      <c r="I23" s="71">
        <f>J73</f>
        <v>0</v>
      </c>
      <c r="J23" s="96">
        <f>J83</f>
        <v>0</v>
      </c>
      <c r="M23" s="2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3:39" x14ac:dyDescent="0.35">
      <c r="C24" s="15"/>
      <c r="D24" s="34" t="s">
        <v>10</v>
      </c>
      <c r="E24" s="19">
        <f t="shared" si="0"/>
        <v>50000</v>
      </c>
      <c r="F24" s="19">
        <f t="shared" si="0"/>
        <v>25000</v>
      </c>
      <c r="G24" s="34" t="s">
        <v>21</v>
      </c>
      <c r="H24" s="35">
        <f t="shared" si="1"/>
        <v>15000</v>
      </c>
      <c r="I24" s="71">
        <f t="shared" ref="I24:I28" si="2">J74</f>
        <v>20000</v>
      </c>
      <c r="J24" s="96">
        <f t="shared" ref="J24:J29" si="3">J84</f>
        <v>20000</v>
      </c>
      <c r="M24" s="2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3:39" x14ac:dyDescent="0.35">
      <c r="C25" s="15"/>
      <c r="D25" s="34" t="s">
        <v>11</v>
      </c>
      <c r="E25" s="19">
        <f t="shared" si="0"/>
        <v>50000</v>
      </c>
      <c r="F25" s="19">
        <f t="shared" si="0"/>
        <v>37500</v>
      </c>
      <c r="G25" s="34" t="s">
        <v>22</v>
      </c>
      <c r="H25" s="35">
        <f t="shared" si="1"/>
        <v>30000</v>
      </c>
      <c r="I25" s="71">
        <f t="shared" si="2"/>
        <v>30000</v>
      </c>
      <c r="J25" s="96">
        <f t="shared" si="3"/>
        <v>40000</v>
      </c>
      <c r="M25" s="2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3:39" x14ac:dyDescent="0.35">
      <c r="C26" s="15"/>
      <c r="D26" s="34" t="s">
        <v>12</v>
      </c>
      <c r="E26" s="19">
        <f t="shared" si="0"/>
        <v>75000</v>
      </c>
      <c r="F26" s="19">
        <f t="shared" si="0"/>
        <v>50000</v>
      </c>
      <c r="G26" s="38" t="s">
        <v>23</v>
      </c>
      <c r="H26" s="35">
        <f t="shared" si="1"/>
        <v>45000</v>
      </c>
      <c r="I26" s="71">
        <f t="shared" si="2"/>
        <v>30000</v>
      </c>
      <c r="J26" s="96">
        <f t="shared" si="3"/>
        <v>60000</v>
      </c>
      <c r="M26" s="2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3:39" x14ac:dyDescent="0.35">
      <c r="C27" s="15"/>
      <c r="D27" s="34" t="s">
        <v>13</v>
      </c>
      <c r="E27" s="19">
        <f t="shared" si="0"/>
        <v>75000</v>
      </c>
      <c r="F27" s="19">
        <f t="shared" si="0"/>
        <v>62500</v>
      </c>
      <c r="G27" s="34" t="s">
        <v>24</v>
      </c>
      <c r="H27" s="35">
        <f t="shared" si="1"/>
        <v>60000</v>
      </c>
      <c r="I27" s="71">
        <f t="shared" si="2"/>
        <v>60000</v>
      </c>
      <c r="J27" s="96">
        <f t="shared" si="3"/>
        <v>80000</v>
      </c>
      <c r="M27" s="2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3:39" x14ac:dyDescent="0.35">
      <c r="C28" s="15"/>
      <c r="D28" s="34" t="s">
        <v>14</v>
      </c>
      <c r="E28" s="19">
        <f t="shared" si="0"/>
        <v>5550000</v>
      </c>
      <c r="F28" s="19">
        <f t="shared" si="0"/>
        <v>5550000</v>
      </c>
      <c r="G28" s="34" t="s">
        <v>14</v>
      </c>
      <c r="H28" s="35">
        <f t="shared" si="1"/>
        <v>5550000</v>
      </c>
      <c r="I28" s="71">
        <f t="shared" si="2"/>
        <v>5550000</v>
      </c>
      <c r="J28" s="96">
        <f t="shared" si="3"/>
        <v>100000</v>
      </c>
      <c r="M28" s="2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3:39" x14ac:dyDescent="0.35">
      <c r="C29" s="20"/>
      <c r="J29" s="96">
        <f t="shared" si="3"/>
        <v>5280000</v>
      </c>
      <c r="M29" s="2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3:39" x14ac:dyDescent="0.35">
      <c r="D30" s="39" t="s">
        <v>33</v>
      </c>
      <c r="E30" s="22">
        <f>SUM(E22:E28)</f>
        <v>5812500</v>
      </c>
      <c r="F30" s="22">
        <f>SUM(F22:F28)</f>
        <v>5737500</v>
      </c>
      <c r="G30" s="39" t="s">
        <v>33</v>
      </c>
      <c r="H30" s="22">
        <f>SUM(H23:H28)</f>
        <v>5700000</v>
      </c>
      <c r="I30" s="68">
        <f>IF(I20&lt;=700000,SUM(I23:I28),IF(SUM(I23:I28)&gt;(I20-700000),(I20-700000),SUM(I23:I28)))</f>
        <v>5690000</v>
      </c>
      <c r="J30" s="96">
        <f>IF(J20&lt;=1200000,SUM(J23:J29),IF(SUM(J23:J29)&gt;(J20-1200000),(J20-1200000),SUM(J23:J29)))</f>
        <v>5580000</v>
      </c>
      <c r="M30" s="2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3:39" x14ac:dyDescent="0.35">
      <c r="D31" s="40" t="s">
        <v>32</v>
      </c>
      <c r="E31" s="30">
        <f>IF(E20&lt;=500000,E30,0)</f>
        <v>0</v>
      </c>
      <c r="F31" s="14">
        <v>0</v>
      </c>
      <c r="G31" s="40" t="s">
        <v>32</v>
      </c>
      <c r="H31" s="14">
        <f>IF(H20&lt;=700000,H30,0)</f>
        <v>0</v>
      </c>
      <c r="I31" s="14">
        <f>IF(I20&lt;=700000,I30,0)</f>
        <v>0</v>
      </c>
      <c r="J31" s="14">
        <f>IF(J20&lt;=700000,J30,0)</f>
        <v>0</v>
      </c>
      <c r="M31" s="2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3:39" x14ac:dyDescent="0.35">
      <c r="D32" s="34" t="s">
        <v>37</v>
      </c>
      <c r="E32" s="30">
        <f>IF(E20&lt;=5000000,E30*0,IF(E20&lt;=10000000,E30*0.1,IF(E20&lt;=20000000,E30*0.15,IF(E20&lt;=50000000,E30*0.25,E30*0.37))))</f>
        <v>871875</v>
      </c>
      <c r="F32" s="30">
        <f>IF(F20&lt;=5000000,F30*0,IF(F20&lt;=10000000,F30*0.1,IF(F20&lt;=20000000,F30*0.15,IF(F20&lt;=50000000,F30*0.25,F30*0.37))))</f>
        <v>860625</v>
      </c>
      <c r="G32" s="43"/>
      <c r="H32" s="30">
        <f>IF(H20&lt;=5000000,H30*0,IF(H20&lt;=10000000,H30*0.1,IF(H20&lt;=20000000,H30*0.15,IF(H20&lt;=50000000,H30*0.25,H30*0.25))))</f>
        <v>855000</v>
      </c>
      <c r="I32" s="30">
        <f>IF(I20&lt;=5000000,I30*0,IF(I20&lt;=10000000,I30*0.1,IF(I20&lt;=20000000,I30*0.15,IF(I20&lt;=50000000,I30*0.25,I30*0.25))))</f>
        <v>853500</v>
      </c>
      <c r="J32" s="30">
        <f>IF(J20&lt;=5000000,J30*0,IF(J20&lt;=10000000,J30*0.1,IF(J20&lt;=20000000,J30*0.15,IF(J20&lt;=50000000,J30*0.25,J30*0.25))))</f>
        <v>837000</v>
      </c>
      <c r="M32" s="2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35">
      <c r="D33" s="34" t="s">
        <v>44</v>
      </c>
      <c r="E33" s="30">
        <f>E30+E32</f>
        <v>6684375</v>
      </c>
      <c r="F33" s="30">
        <f>F30+F32</f>
        <v>6598125</v>
      </c>
      <c r="G33" s="43"/>
      <c r="H33" s="30">
        <f>H30+H32</f>
        <v>6555000</v>
      </c>
      <c r="I33" s="30">
        <f>I30+I32</f>
        <v>6543500</v>
      </c>
      <c r="J33" s="30">
        <f>J30+J32</f>
        <v>6417000</v>
      </c>
      <c r="M33" s="2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5">
      <c r="D34" s="34" t="s">
        <v>35</v>
      </c>
      <c r="E34" s="30">
        <f>(E33-E31)*4%</f>
        <v>267375</v>
      </c>
      <c r="F34" s="30">
        <f>(F33-F31)*4%</f>
        <v>263925</v>
      </c>
      <c r="G34" s="42"/>
      <c r="H34" s="30">
        <f>(H33-H31)*4%</f>
        <v>262200</v>
      </c>
      <c r="I34" s="30">
        <f>(I33-I31)*4%</f>
        <v>261740</v>
      </c>
      <c r="J34" s="30">
        <f>(J33-J31)*4%</f>
        <v>256680</v>
      </c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35">
      <c r="D35" s="39" t="s">
        <v>31</v>
      </c>
      <c r="E35" s="30">
        <f>E30-E31+E34+E32</f>
        <v>6951750</v>
      </c>
      <c r="F35" s="30">
        <f>F30-F31+F34</f>
        <v>6001425</v>
      </c>
      <c r="G35" s="40" t="s">
        <v>31</v>
      </c>
      <c r="H35" s="30">
        <f>H30-H31+H34</f>
        <v>5962200</v>
      </c>
      <c r="I35" s="30">
        <f>I30-I31+I34</f>
        <v>5951740</v>
      </c>
      <c r="J35" s="30">
        <f>J30-J31+J34</f>
        <v>5836680</v>
      </c>
      <c r="M35" s="2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35">
      <c r="M36" s="2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35"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35"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35"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35">
      <c r="M40" s="2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35">
      <c r="M41" s="2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35">
      <c r="M42" s="2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35">
      <c r="M43" s="2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35"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35"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35"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35"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35">
      <c r="B48" s="1"/>
      <c r="C48" s="23" t="s">
        <v>7</v>
      </c>
      <c r="D48" s="23" t="s">
        <v>26</v>
      </c>
      <c r="G48" s="23" t="s">
        <v>27</v>
      </c>
      <c r="H48" t="s">
        <v>25</v>
      </c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35">
      <c r="B49" s="6" t="s">
        <v>8</v>
      </c>
      <c r="C49" s="7">
        <f>MIN(E$20,250000)</f>
        <v>250000</v>
      </c>
      <c r="D49" s="8">
        <f>MIN(F$20,250000)</f>
        <v>250000</v>
      </c>
      <c r="F49" s="6" t="s">
        <v>20</v>
      </c>
      <c r="G49" s="2">
        <f>MIN($H$20,300000)</f>
        <v>300000</v>
      </c>
      <c r="H49" s="5">
        <v>0</v>
      </c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35">
      <c r="B50" s="9" t="s">
        <v>9</v>
      </c>
      <c r="C50" s="3">
        <f>MAX(MIN(E$20-C49,250000),0)</f>
        <v>250000</v>
      </c>
      <c r="D50" s="10">
        <f>MAX(MIN(F$20-D49,250000),0)</f>
        <v>250000</v>
      </c>
      <c r="F50" s="9" t="s">
        <v>21</v>
      </c>
      <c r="G50" s="2">
        <f>MAX(MIN(H$20-$G$49,300000),0)</f>
        <v>300000</v>
      </c>
      <c r="H50" s="5">
        <v>0.05</v>
      </c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5">
      <c r="B51" s="9" t="s">
        <v>10</v>
      </c>
      <c r="C51" s="3">
        <f>MAX(MIN(E$20-C$50-C$49,250000),0)</f>
        <v>250000</v>
      </c>
      <c r="D51" s="10">
        <f>MAX(MIN(F$20-D$50-D$49,250000),0)</f>
        <v>250000</v>
      </c>
      <c r="F51" s="9" t="s">
        <v>22</v>
      </c>
      <c r="G51" s="2">
        <f>MAX(MIN(H$20-$G$50-$G$49,300000),0)</f>
        <v>300000</v>
      </c>
      <c r="H51" s="5">
        <v>0.1</v>
      </c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35">
      <c r="B52" s="9" t="s">
        <v>11</v>
      </c>
      <c r="C52" s="3">
        <f>MAX(MIN(E$20-C$50-C$51-C$49,250000),0)</f>
        <v>250000</v>
      </c>
      <c r="D52" s="10">
        <f>MAX(MIN(F$20-D$50-D$51-D$49,250000),0)</f>
        <v>250000</v>
      </c>
      <c r="F52" s="27" t="s">
        <v>23</v>
      </c>
      <c r="G52" s="2">
        <f>MAX(MIN(H$20-$G$49-$G$50-$G$51,300000),0)</f>
        <v>300000</v>
      </c>
      <c r="H52" s="5">
        <v>0.15</v>
      </c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35">
      <c r="B53" s="9" t="s">
        <v>12</v>
      </c>
      <c r="C53" s="3">
        <f>MAX(MIN(E$20-C$50-C$51-C$52-C$49,250000),0)</f>
        <v>250000</v>
      </c>
      <c r="D53" s="10">
        <f>MAX(MIN(F$20-D$50-D$51-D$52-D$49,250000),0)</f>
        <v>250000</v>
      </c>
      <c r="F53" s="9" t="s">
        <v>24</v>
      </c>
      <c r="G53" s="2">
        <f>MAX(MIN(H$20-$G$49-$G$50-$G$51-$G$52,300000),0)</f>
        <v>300000</v>
      </c>
      <c r="H53" s="5">
        <v>0.2</v>
      </c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35">
      <c r="B54" s="9" t="s">
        <v>13</v>
      </c>
      <c r="C54" s="3">
        <f>MAX(MIN(E$20-C$50-C$51-C$52-C$49-C$53,250000),0)</f>
        <v>250000</v>
      </c>
      <c r="D54" s="10">
        <f>MAX(MIN(F$20-D$50-D$51-D$52-D$49-D$53,250000),0)</f>
        <v>250000</v>
      </c>
      <c r="F54" s="9" t="s">
        <v>14</v>
      </c>
      <c r="G54" s="2">
        <f>MAX(MIN(H$20-$G$49-$G$50-$G$51-$G$52-$G$53,F$20),0)</f>
        <v>18500000</v>
      </c>
      <c r="H54" s="5">
        <v>0.3</v>
      </c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35">
      <c r="B55" s="9" t="s">
        <v>14</v>
      </c>
      <c r="C55" s="3">
        <f>MAX(MIN(E$20-C$50-C$51-C$52-C$49-C$53-C$54,E$20),0)</f>
        <v>18500000</v>
      </c>
      <c r="D55" s="10">
        <f>MAX(MIN(F$20-D$50-D$51-D$52-D$49-D$53-D$54,F$20),0)</f>
        <v>18500000</v>
      </c>
      <c r="F55" s="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35">
      <c r="B56" s="11" t="s">
        <v>15</v>
      </c>
      <c r="C56" s="12">
        <f>SUM(C49:C55)</f>
        <v>20000000</v>
      </c>
      <c r="D56" s="13">
        <f>SUM(D49:D55)</f>
        <v>20000000</v>
      </c>
      <c r="F56" s="11"/>
      <c r="G56" s="3"/>
      <c r="H56" s="3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35"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35">
      <c r="C58" t="s">
        <v>17</v>
      </c>
      <c r="D58" s="23" t="s">
        <v>26</v>
      </c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35">
      <c r="C59" s="5">
        <v>0</v>
      </c>
      <c r="D59" s="5">
        <v>0</v>
      </c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35">
      <c r="C60" s="5">
        <v>0.05</v>
      </c>
      <c r="D60" s="5">
        <v>0.05</v>
      </c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35">
      <c r="C61" s="5">
        <v>0.2</v>
      </c>
      <c r="D61" s="5">
        <v>0.1</v>
      </c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35">
      <c r="C62" s="5">
        <v>0.2</v>
      </c>
      <c r="D62" s="5">
        <v>0.15</v>
      </c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35">
      <c r="C63" s="5">
        <v>0.3</v>
      </c>
      <c r="D63" s="5">
        <v>0.2</v>
      </c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35">
      <c r="C64" s="5">
        <v>0.3</v>
      </c>
      <c r="D64" s="5">
        <v>0.25</v>
      </c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5">
      <c r="C65" s="5">
        <v>0.3</v>
      </c>
      <c r="D65" s="5">
        <v>0.3</v>
      </c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5"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35"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35"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5"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5"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5"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5">
      <c r="A72" s="46"/>
      <c r="B72" s="46"/>
      <c r="C72" s="46"/>
      <c r="D72" s="46"/>
      <c r="E72" s="46"/>
      <c r="F72" s="46"/>
      <c r="G72" s="46"/>
      <c r="H72" s="46"/>
      <c r="I72" s="51" t="s">
        <v>51</v>
      </c>
      <c r="J72" s="46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E73" s="46"/>
      <c r="F73" s="46"/>
      <c r="G73" s="46"/>
      <c r="H73" s="46"/>
      <c r="I73" s="83">
        <v>0</v>
      </c>
      <c r="J73" s="46">
        <f t="shared" ref="J73:J78" si="4">D73*I73</f>
        <v>0</v>
      </c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E74" s="46"/>
      <c r="F74" s="46"/>
      <c r="G74" s="46"/>
      <c r="H74" s="46"/>
      <c r="I74" s="83">
        <v>0.05</v>
      </c>
      <c r="J74" s="46">
        <f t="shared" si="4"/>
        <v>20000</v>
      </c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E75" s="46"/>
      <c r="F75" s="46"/>
      <c r="G75" s="46"/>
      <c r="H75" s="46"/>
      <c r="I75" s="83">
        <v>0.1</v>
      </c>
      <c r="J75" s="46">
        <f t="shared" si="4"/>
        <v>30000</v>
      </c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E76" s="46"/>
      <c r="F76" s="46"/>
      <c r="G76" s="46"/>
      <c r="H76" s="46"/>
      <c r="I76" s="83">
        <v>0.15</v>
      </c>
      <c r="J76" s="46">
        <f t="shared" si="4"/>
        <v>30000</v>
      </c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300000</v>
      </c>
      <c r="E77" s="46"/>
      <c r="F77" s="46"/>
      <c r="G77" s="46"/>
      <c r="H77" s="46"/>
      <c r="I77" s="83">
        <v>0.2</v>
      </c>
      <c r="J77" s="46">
        <f t="shared" si="4"/>
        <v>60000</v>
      </c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35">
      <c r="A78">
        <v>1500000</v>
      </c>
      <c r="B78" s="2">
        <f>I20</f>
        <v>20000000</v>
      </c>
      <c r="C78" s="46">
        <f t="shared" si="5"/>
        <v>18500000</v>
      </c>
      <c r="D78" s="48">
        <f>MAX(MIN(I$20-D73-D74-D75-D76-D77,C78),0)</f>
        <v>18500000</v>
      </c>
      <c r="E78" s="46"/>
      <c r="F78" s="46"/>
      <c r="G78" s="46"/>
      <c r="H78" s="46"/>
      <c r="I78" s="83">
        <v>0.3</v>
      </c>
      <c r="J78" s="46">
        <f t="shared" si="4"/>
        <v>5550000</v>
      </c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35">
      <c r="A79" s="46"/>
      <c r="B79" s="46"/>
      <c r="C79" s="46"/>
      <c r="D79" s="48"/>
      <c r="E79" s="46"/>
      <c r="F79" s="46"/>
      <c r="G79" s="46"/>
      <c r="H79" s="46"/>
      <c r="I79" s="53" t="s">
        <v>15</v>
      </c>
      <c r="J79" s="53">
        <f>SUM(J72:J78)</f>
        <v>5690000</v>
      </c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35"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5"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35">
      <c r="A82" s="46"/>
      <c r="B82" s="46"/>
      <c r="C82" s="46"/>
      <c r="D82" s="46"/>
      <c r="E82" s="46"/>
      <c r="F82" s="46"/>
      <c r="G82" s="46"/>
      <c r="H82" s="46"/>
      <c r="I82" s="51" t="s">
        <v>56</v>
      </c>
      <c r="J82" s="46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35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E83" s="46"/>
      <c r="F83" s="46"/>
      <c r="G83" s="46"/>
      <c r="H83" s="46"/>
      <c r="I83" s="83">
        <v>0</v>
      </c>
      <c r="J83" s="46">
        <f t="shared" ref="J83:J89" si="6">D83*I83</f>
        <v>0</v>
      </c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35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E84" s="46"/>
      <c r="F84" s="46"/>
      <c r="G84" s="46"/>
      <c r="H84" s="46"/>
      <c r="I84" s="83">
        <v>0.05</v>
      </c>
      <c r="J84" s="46">
        <f t="shared" si="6"/>
        <v>20000</v>
      </c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5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E85" s="46"/>
      <c r="F85" s="46"/>
      <c r="G85" s="46"/>
      <c r="H85" s="46"/>
      <c r="I85" s="83">
        <v>0.1</v>
      </c>
      <c r="J85" s="46">
        <f t="shared" si="6"/>
        <v>40000</v>
      </c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35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400000</v>
      </c>
      <c r="E86" s="46"/>
      <c r="F86" s="46"/>
      <c r="G86" s="46"/>
      <c r="H86" s="46"/>
      <c r="I86" s="83">
        <v>0.15</v>
      </c>
      <c r="J86" s="46">
        <f t="shared" si="6"/>
        <v>60000</v>
      </c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5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400000</v>
      </c>
      <c r="E87" s="46"/>
      <c r="F87" s="46"/>
      <c r="G87" s="46"/>
      <c r="H87" s="46"/>
      <c r="I87" s="83">
        <v>0.2</v>
      </c>
      <c r="J87" s="46">
        <f t="shared" si="6"/>
        <v>80000</v>
      </c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5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400000</v>
      </c>
      <c r="E88" s="46"/>
      <c r="F88" s="46"/>
      <c r="G88" s="46"/>
      <c r="H88" s="46"/>
      <c r="I88" s="83">
        <v>0.25</v>
      </c>
      <c r="J88" s="46">
        <f t="shared" si="6"/>
        <v>100000</v>
      </c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5">
      <c r="A89" s="46">
        <v>2400000</v>
      </c>
      <c r="B89" s="48">
        <f>J20</f>
        <v>20000000</v>
      </c>
      <c r="C89" s="46">
        <f t="shared" si="7"/>
        <v>17600000</v>
      </c>
      <c r="D89" s="48">
        <f>MAX(MIN(J$20-D84-D85-D86-D87-D88,C89),0)</f>
        <v>17600000</v>
      </c>
      <c r="E89" s="46"/>
      <c r="F89" s="46"/>
      <c r="G89" s="46"/>
      <c r="H89" s="46"/>
      <c r="I89" s="83">
        <v>0.3</v>
      </c>
      <c r="J89" s="46">
        <f t="shared" si="6"/>
        <v>5280000</v>
      </c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5">
      <c r="A90" s="46"/>
      <c r="B90" s="46"/>
      <c r="C90" s="46"/>
      <c r="D90" s="46"/>
      <c r="E90" s="46"/>
      <c r="F90" s="46"/>
      <c r="G90" s="46"/>
      <c r="H90" s="46"/>
      <c r="I90" s="53" t="s">
        <v>15</v>
      </c>
      <c r="J90" s="53">
        <f>SUM(J83:J89)</f>
        <v>5580000</v>
      </c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5"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5"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5"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5"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5"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5"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3:39" x14ac:dyDescent="0.35"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3:39" x14ac:dyDescent="0.35"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3:39" x14ac:dyDescent="0.35"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3:39" x14ac:dyDescent="0.35"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3:39" x14ac:dyDescent="0.35"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3:39" x14ac:dyDescent="0.35"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3:39" x14ac:dyDescent="0.35"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3:39" x14ac:dyDescent="0.35"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3:39" x14ac:dyDescent="0.35"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3:39" x14ac:dyDescent="0.35"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3:39" x14ac:dyDescent="0.35"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3:39" x14ac:dyDescent="0.35"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3:39" x14ac:dyDescent="0.35"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3:39" x14ac:dyDescent="0.35"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3:39" x14ac:dyDescent="0.35"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3:39" x14ac:dyDescent="0.35"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3:39" x14ac:dyDescent="0.35"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3:39" x14ac:dyDescent="0.35"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3:39" x14ac:dyDescent="0.35"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3:39" x14ac:dyDescent="0.35"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20" spans="13:39" x14ac:dyDescent="0.35">
      <c r="M120" s="28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13:39" x14ac:dyDescent="0.35">
      <c r="M121" s="29"/>
    </row>
    <row r="122" spans="13:39" x14ac:dyDescent="0.35">
      <c r="M122" s="29"/>
    </row>
    <row r="123" spans="13:39" x14ac:dyDescent="0.35">
      <c r="M123" s="29"/>
    </row>
    <row r="124" spans="13:39" x14ac:dyDescent="0.35">
      <c r="M124" s="29"/>
    </row>
    <row r="125" spans="13:39" x14ac:dyDescent="0.35">
      <c r="M125" s="29"/>
    </row>
    <row r="126" spans="13:39" x14ac:dyDescent="0.35">
      <c r="M126" s="29"/>
    </row>
    <row r="127" spans="13:39" x14ac:dyDescent="0.35">
      <c r="M127" s="29"/>
    </row>
    <row r="128" spans="13:39" x14ac:dyDescent="0.35">
      <c r="M128" s="29"/>
    </row>
    <row r="129" spans="13:13" x14ac:dyDescent="0.35">
      <c r="M129" s="29"/>
    </row>
    <row r="130" spans="13:13" x14ac:dyDescent="0.35">
      <c r="M130" s="29"/>
    </row>
    <row r="131" spans="13:13" x14ac:dyDescent="0.35">
      <c r="M131" s="29"/>
    </row>
    <row r="132" spans="13:13" x14ac:dyDescent="0.35">
      <c r="M132" s="29"/>
    </row>
    <row r="133" spans="13:13" x14ac:dyDescent="0.35">
      <c r="M133" s="29"/>
    </row>
    <row r="134" spans="13:13" x14ac:dyDescent="0.35">
      <c r="M134" s="29"/>
    </row>
    <row r="135" spans="13:13" x14ac:dyDescent="0.35">
      <c r="M135" s="29"/>
    </row>
    <row r="136" spans="13:13" x14ac:dyDescent="0.35">
      <c r="M136" s="29"/>
    </row>
    <row r="137" spans="13:13" x14ac:dyDescent="0.35">
      <c r="M137" s="29"/>
    </row>
    <row r="138" spans="13:13" x14ac:dyDescent="0.35">
      <c r="M138" s="29"/>
    </row>
    <row r="139" spans="13:13" x14ac:dyDescent="0.35">
      <c r="M139" s="29"/>
    </row>
    <row r="140" spans="13:13" x14ac:dyDescent="0.35">
      <c r="M140" s="29"/>
    </row>
    <row r="141" spans="13:13" x14ac:dyDescent="0.35">
      <c r="M141" s="29"/>
    </row>
    <row r="142" spans="13:13" x14ac:dyDescent="0.35">
      <c r="M142" s="29"/>
    </row>
    <row r="143" spans="13:13" x14ac:dyDescent="0.35">
      <c r="M143" s="29"/>
    </row>
    <row r="144" spans="13:13" x14ac:dyDescent="0.35">
      <c r="M144" s="29"/>
    </row>
    <row r="145" spans="13:13" x14ac:dyDescent="0.35">
      <c r="M145" s="29"/>
    </row>
    <row r="146" spans="13:13" x14ac:dyDescent="0.35">
      <c r="M146" s="29"/>
    </row>
    <row r="147" spans="13:13" x14ac:dyDescent="0.35">
      <c r="M147" s="29"/>
    </row>
    <row r="148" spans="13:13" x14ac:dyDescent="0.35">
      <c r="M148" s="29"/>
    </row>
    <row r="149" spans="13:13" x14ac:dyDescent="0.35">
      <c r="M149" s="29"/>
    </row>
    <row r="150" spans="13:13" x14ac:dyDescent="0.35">
      <c r="M150" s="29"/>
    </row>
    <row r="151" spans="13:13" x14ac:dyDescent="0.35">
      <c r="M151" s="29"/>
    </row>
    <row r="152" spans="13:13" x14ac:dyDescent="0.35">
      <c r="M152" s="29"/>
    </row>
    <row r="153" spans="13:13" x14ac:dyDescent="0.35">
      <c r="M153" s="29"/>
    </row>
    <row r="154" spans="13:13" x14ac:dyDescent="0.35">
      <c r="M154" s="29"/>
    </row>
    <row r="155" spans="13:13" x14ac:dyDescent="0.35">
      <c r="M155" s="29"/>
    </row>
    <row r="156" spans="13:13" x14ac:dyDescent="0.35">
      <c r="M156" s="29"/>
    </row>
    <row r="157" spans="13:13" x14ac:dyDescent="0.35">
      <c r="M157" s="29"/>
    </row>
    <row r="158" spans="13:13" x14ac:dyDescent="0.35">
      <c r="M158" s="29"/>
    </row>
    <row r="159" spans="13:13" x14ac:dyDescent="0.35">
      <c r="M159" s="29"/>
    </row>
    <row r="160" spans="13:13" x14ac:dyDescent="0.35">
      <c r="M160" s="29"/>
    </row>
    <row r="161" spans="13:13" x14ac:dyDescent="0.35">
      <c r="M161" s="29"/>
    </row>
    <row r="162" spans="13:13" x14ac:dyDescent="0.35">
      <c r="M162" s="29"/>
    </row>
    <row r="163" spans="13:13" x14ac:dyDescent="0.35">
      <c r="M163" s="29"/>
    </row>
    <row r="164" spans="13:13" x14ac:dyDescent="0.35">
      <c r="M164" s="29"/>
    </row>
    <row r="165" spans="13:13" x14ac:dyDescent="0.35">
      <c r="M165" s="29"/>
    </row>
    <row r="166" spans="13:13" x14ac:dyDescent="0.35">
      <c r="M166" s="29"/>
    </row>
    <row r="167" spans="13:13" x14ac:dyDescent="0.35">
      <c r="M167" s="29"/>
    </row>
    <row r="168" spans="13:13" x14ac:dyDescent="0.35">
      <c r="M168" s="29"/>
    </row>
    <row r="169" spans="13:13" x14ac:dyDescent="0.35">
      <c r="M169" s="29"/>
    </row>
    <row r="170" spans="13:13" x14ac:dyDescent="0.35">
      <c r="M170" s="29"/>
    </row>
    <row r="171" spans="13:13" x14ac:dyDescent="0.35">
      <c r="M171" s="29"/>
    </row>
    <row r="172" spans="13:13" x14ac:dyDescent="0.35">
      <c r="M172" s="29"/>
    </row>
    <row r="173" spans="13:13" x14ac:dyDescent="0.35">
      <c r="M173" s="29"/>
    </row>
    <row r="174" spans="13:13" x14ac:dyDescent="0.35">
      <c r="M174" s="29"/>
    </row>
    <row r="175" spans="13:13" x14ac:dyDescent="0.35">
      <c r="M175" s="29"/>
    </row>
    <row r="176" spans="13:13" x14ac:dyDescent="0.35">
      <c r="M176" s="29"/>
    </row>
    <row r="177" spans="13:13" x14ac:dyDescent="0.35">
      <c r="M177" s="29"/>
    </row>
    <row r="178" spans="13:13" x14ac:dyDescent="0.35">
      <c r="M178" s="29"/>
    </row>
    <row r="179" spans="13:13" x14ac:dyDescent="0.35">
      <c r="M179" s="29"/>
    </row>
    <row r="180" spans="13:13" x14ac:dyDescent="0.35">
      <c r="M180" s="29"/>
    </row>
    <row r="181" spans="13:13" x14ac:dyDescent="0.35">
      <c r="M181" s="29"/>
    </row>
    <row r="182" spans="13:13" x14ac:dyDescent="0.35">
      <c r="M182" s="29"/>
    </row>
    <row r="183" spans="13:13" x14ac:dyDescent="0.35">
      <c r="M183" s="29"/>
    </row>
    <row r="184" spans="13:13" x14ac:dyDescent="0.35">
      <c r="M184" s="29"/>
    </row>
    <row r="185" spans="13:13" x14ac:dyDescent="0.35">
      <c r="M185" s="29"/>
    </row>
    <row r="186" spans="13:13" x14ac:dyDescent="0.35">
      <c r="M186" s="29"/>
    </row>
    <row r="187" spans="13:13" x14ac:dyDescent="0.35">
      <c r="M187" s="29"/>
    </row>
    <row r="188" spans="13:13" x14ac:dyDescent="0.35">
      <c r="M188" s="29"/>
    </row>
    <row r="189" spans="13:13" x14ac:dyDescent="0.35">
      <c r="M189" s="29"/>
    </row>
    <row r="190" spans="13:13" x14ac:dyDescent="0.35">
      <c r="M190" s="29"/>
    </row>
    <row r="191" spans="13:13" x14ac:dyDescent="0.35">
      <c r="M191" s="29"/>
    </row>
    <row r="192" spans="13:13" x14ac:dyDescent="0.35">
      <c r="M192" s="29"/>
    </row>
    <row r="193" spans="13:13" x14ac:dyDescent="0.35">
      <c r="M193" s="29"/>
    </row>
    <row r="194" spans="13:13" x14ac:dyDescent="0.35">
      <c r="M194" s="29"/>
    </row>
    <row r="195" spans="13:13" x14ac:dyDescent="0.35">
      <c r="M195" s="29"/>
    </row>
    <row r="196" spans="13:13" x14ac:dyDescent="0.35">
      <c r="M196" s="29"/>
    </row>
    <row r="197" spans="13:13" x14ac:dyDescent="0.35">
      <c r="M197" s="29"/>
    </row>
    <row r="198" spans="13:13" x14ac:dyDescent="0.35">
      <c r="M198" s="29"/>
    </row>
    <row r="199" spans="13:13" x14ac:dyDescent="0.35">
      <c r="M199" s="29"/>
    </row>
    <row r="200" spans="13:13" x14ac:dyDescent="0.35">
      <c r="M200" s="29"/>
    </row>
    <row r="201" spans="13:13" x14ac:dyDescent="0.35">
      <c r="M201" s="29"/>
    </row>
    <row r="202" spans="13:13" x14ac:dyDescent="0.35">
      <c r="M202" s="29"/>
    </row>
    <row r="203" spans="13:13" x14ac:dyDescent="0.35">
      <c r="M203" s="29"/>
    </row>
    <row r="204" spans="13:13" x14ac:dyDescent="0.35">
      <c r="M204" s="29"/>
    </row>
    <row r="205" spans="13:13" x14ac:dyDescent="0.35">
      <c r="M205" s="29"/>
    </row>
    <row r="206" spans="13:13" x14ac:dyDescent="0.35">
      <c r="M206" s="29"/>
    </row>
    <row r="207" spans="13:13" x14ac:dyDescent="0.35">
      <c r="M207" s="29"/>
    </row>
    <row r="208" spans="13:13" x14ac:dyDescent="0.35">
      <c r="M208" s="29"/>
    </row>
    <row r="209" spans="13:13" x14ac:dyDescent="0.35">
      <c r="M209" s="29"/>
    </row>
    <row r="210" spans="13:13" x14ac:dyDescent="0.35">
      <c r="M210" s="29"/>
    </row>
    <row r="211" spans="13:13" x14ac:dyDescent="0.35">
      <c r="M211" s="29"/>
    </row>
    <row r="212" spans="13:13" x14ac:dyDescent="0.35">
      <c r="M212" s="29"/>
    </row>
    <row r="213" spans="13:13" x14ac:dyDescent="0.35">
      <c r="M213" s="29"/>
    </row>
    <row r="214" spans="13:13" x14ac:dyDescent="0.35">
      <c r="M214" s="29"/>
    </row>
    <row r="215" spans="13:13" x14ac:dyDescent="0.35">
      <c r="M215" s="29"/>
    </row>
    <row r="216" spans="13:13" x14ac:dyDescent="0.35">
      <c r="M216" s="29"/>
    </row>
    <row r="217" spans="13:13" x14ac:dyDescent="0.35">
      <c r="M217" s="29"/>
    </row>
    <row r="218" spans="13:13" x14ac:dyDescent="0.35">
      <c r="M218" s="29"/>
    </row>
    <row r="219" spans="13:13" x14ac:dyDescent="0.35">
      <c r="M219" s="29"/>
    </row>
    <row r="220" spans="13:13" x14ac:dyDescent="0.35">
      <c r="M220" s="29"/>
    </row>
    <row r="221" spans="13:13" x14ac:dyDescent="0.35">
      <c r="M221" s="29"/>
    </row>
    <row r="222" spans="13:13" x14ac:dyDescent="0.35">
      <c r="M222" s="2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BA7B-9D5E-4A5D-92D9-D3B6C4313335}">
  <sheetPr codeName="Sheet4"/>
  <dimension ref="A3:AM222"/>
  <sheetViews>
    <sheetView showGridLines="0" topLeftCell="A71" zoomScale="130" zoomScaleNormal="130" workbookViewId="0">
      <selection activeCell="D89" sqref="D89"/>
    </sheetView>
  </sheetViews>
  <sheetFormatPr defaultRowHeight="14.5" x14ac:dyDescent="0.35"/>
  <cols>
    <col min="1" max="1" width="10.54296875" customWidth="1"/>
    <col min="3" max="3" width="23.453125" bestFit="1" customWidth="1"/>
    <col min="4" max="4" width="31" customWidth="1"/>
    <col min="5" max="5" width="22.08984375" customWidth="1"/>
    <col min="6" max="6" width="23.6328125" bestFit="1" customWidth="1"/>
    <col min="7" max="7" width="21.1796875" bestFit="1" customWidth="1"/>
    <col min="8" max="8" width="20.81640625" bestFit="1" customWidth="1"/>
    <col min="9" max="10" width="12.54296875" customWidth="1"/>
    <col min="12" max="12" width="4.36328125" bestFit="1" customWidth="1"/>
    <col min="13" max="13" width="15.453125" bestFit="1" customWidth="1"/>
    <col min="14" max="14" width="11.453125" bestFit="1" customWidth="1"/>
    <col min="15" max="15" width="11.54296875" bestFit="1" customWidth="1"/>
    <col min="16" max="19" width="13.453125" bestFit="1" customWidth="1"/>
    <col min="20" max="23" width="13.90625" bestFit="1" customWidth="1"/>
    <col min="24" max="24" width="15" bestFit="1" customWidth="1"/>
    <col min="25" max="39" width="13.90625" bestFit="1" customWidth="1"/>
  </cols>
  <sheetData>
    <row r="3" spans="3:39" ht="29" x14ac:dyDescent="0.35">
      <c r="C3" s="25" t="s">
        <v>19</v>
      </c>
    </row>
    <row r="5" spans="3:39" x14ac:dyDescent="0.35">
      <c r="D5" t="s">
        <v>36</v>
      </c>
      <c r="E5" s="41" t="str">
        <f>'After Budget 2025'!E5</f>
        <v>N</v>
      </c>
    </row>
    <row r="6" spans="3:39" x14ac:dyDescent="0.35">
      <c r="C6" s="2"/>
      <c r="D6" s="2" t="s">
        <v>34</v>
      </c>
      <c r="E6" s="2"/>
      <c r="F6" s="2"/>
      <c r="G6" s="2"/>
      <c r="H6" s="2"/>
      <c r="I6" s="2"/>
      <c r="J6" s="2"/>
      <c r="K6" s="2"/>
      <c r="L6" s="2"/>
      <c r="M6" s="2"/>
    </row>
    <row r="7" spans="3:39" x14ac:dyDescent="0.35">
      <c r="G7" s="4"/>
    </row>
    <row r="8" spans="3:39" x14ac:dyDescent="0.35">
      <c r="C8" s="14"/>
      <c r="D8" s="14"/>
      <c r="E8" s="23" t="s">
        <v>29</v>
      </c>
      <c r="F8" s="23" t="s">
        <v>28</v>
      </c>
      <c r="G8" s="31"/>
      <c r="H8" s="23" t="s">
        <v>30</v>
      </c>
      <c r="I8" s="51" t="s">
        <v>52</v>
      </c>
      <c r="J8" s="51" t="s">
        <v>55</v>
      </c>
      <c r="N8" s="1"/>
    </row>
    <row r="9" spans="3:39" x14ac:dyDescent="0.35">
      <c r="C9" s="15"/>
      <c r="D9" s="32" t="s">
        <v>0</v>
      </c>
      <c r="E9" s="16">
        <v>10000000</v>
      </c>
      <c r="F9" s="21">
        <f>E9</f>
        <v>10000000</v>
      </c>
      <c r="G9" s="31"/>
      <c r="H9" s="21">
        <f>F9</f>
        <v>10000000</v>
      </c>
      <c r="I9" s="57">
        <f>H9</f>
        <v>10000000</v>
      </c>
      <c r="J9" s="2">
        <f>H9</f>
        <v>10000000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3:39" ht="15" customHeight="1" x14ac:dyDescent="0.35">
      <c r="C10" s="15"/>
      <c r="D10" s="33" t="s">
        <v>2</v>
      </c>
      <c r="E10" s="17">
        <v>0</v>
      </c>
      <c r="F10" s="17"/>
      <c r="G10" s="31"/>
      <c r="H10" s="17">
        <v>0</v>
      </c>
      <c r="I10" s="52">
        <f>IF(E5="Y",-75000,0)</f>
        <v>0</v>
      </c>
      <c r="J10">
        <f>IF(E5="Y",-75000,0)</f>
        <v>0</v>
      </c>
      <c r="L10" s="98"/>
      <c r="M10" s="2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3:39" x14ac:dyDescent="0.35">
      <c r="C11" s="18" t="s">
        <v>1</v>
      </c>
      <c r="D11" s="34" t="s">
        <v>3</v>
      </c>
      <c r="E11" s="16">
        <v>0</v>
      </c>
      <c r="F11" s="19">
        <v>0</v>
      </c>
      <c r="G11" s="31"/>
      <c r="H11" s="19">
        <v>0</v>
      </c>
      <c r="I11" s="64">
        <v>0</v>
      </c>
      <c r="J11" s="64">
        <v>0</v>
      </c>
      <c r="L11" s="98"/>
      <c r="M11" s="2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3:39" x14ac:dyDescent="0.35">
      <c r="C12" s="15"/>
      <c r="D12" s="34" t="s">
        <v>41</v>
      </c>
      <c r="E12" s="16">
        <v>0</v>
      </c>
      <c r="F12" s="19">
        <f>E12</f>
        <v>0</v>
      </c>
      <c r="G12" s="31"/>
      <c r="H12" s="19">
        <f>E12</f>
        <v>0</v>
      </c>
      <c r="I12" s="94">
        <f>E12</f>
        <v>0</v>
      </c>
      <c r="J12" s="2">
        <f>E12</f>
        <v>0</v>
      </c>
      <c r="L12" s="98"/>
      <c r="M12" s="2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3:39" x14ac:dyDescent="0.35">
      <c r="C13" s="15"/>
      <c r="D13" s="34" t="s">
        <v>38</v>
      </c>
      <c r="E13" s="16">
        <v>0</v>
      </c>
      <c r="F13" s="19">
        <v>0</v>
      </c>
      <c r="G13" s="31"/>
      <c r="H13" s="19">
        <v>0</v>
      </c>
      <c r="I13" s="64">
        <v>0</v>
      </c>
      <c r="J13" s="64">
        <v>0</v>
      </c>
      <c r="L13" s="98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3:39" x14ac:dyDescent="0.35">
      <c r="C14" s="15"/>
      <c r="D14" s="34" t="s">
        <v>4</v>
      </c>
      <c r="E14" s="16">
        <v>0</v>
      </c>
      <c r="F14" s="19">
        <v>0</v>
      </c>
      <c r="G14" s="31"/>
      <c r="H14" s="19">
        <v>0</v>
      </c>
      <c r="I14" s="64">
        <v>0</v>
      </c>
      <c r="J14" s="64">
        <v>0</v>
      </c>
      <c r="L14" s="98"/>
      <c r="M14" s="2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3:39" x14ac:dyDescent="0.35">
      <c r="C15" s="15"/>
      <c r="D15" s="34" t="s">
        <v>5</v>
      </c>
      <c r="E15" s="16"/>
      <c r="F15" s="19">
        <v>0</v>
      </c>
      <c r="G15" s="31"/>
      <c r="H15" s="19">
        <v>0</v>
      </c>
      <c r="I15" s="64">
        <v>0</v>
      </c>
      <c r="J15" s="64">
        <v>0</v>
      </c>
      <c r="L15" s="98"/>
      <c r="M15" s="2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3:39" x14ac:dyDescent="0.35">
      <c r="C16" s="15"/>
      <c r="D16" s="34" t="s">
        <v>39</v>
      </c>
      <c r="E16" s="16"/>
      <c r="F16" s="19">
        <v>0</v>
      </c>
      <c r="G16" s="31"/>
      <c r="H16" s="19">
        <v>0</v>
      </c>
      <c r="I16" s="64">
        <v>0</v>
      </c>
      <c r="J16" s="64">
        <v>0</v>
      </c>
      <c r="L16" s="98"/>
      <c r="M16" s="2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3:39" x14ac:dyDescent="0.35">
      <c r="C17" s="15"/>
      <c r="D17" s="34" t="s">
        <v>40</v>
      </c>
      <c r="E17" s="16">
        <v>0</v>
      </c>
      <c r="F17" s="19">
        <v>0</v>
      </c>
      <c r="G17" s="31"/>
      <c r="H17" s="19">
        <v>0</v>
      </c>
      <c r="I17" s="64">
        <v>0</v>
      </c>
      <c r="J17" s="64">
        <v>0</v>
      </c>
      <c r="L17" s="98"/>
      <c r="M17" s="2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3:39" x14ac:dyDescent="0.35">
      <c r="C18" s="15"/>
      <c r="D18" s="34" t="s">
        <v>42</v>
      </c>
      <c r="E18" s="16"/>
      <c r="F18" s="19">
        <v>0</v>
      </c>
      <c r="G18" s="31"/>
      <c r="H18" s="19">
        <v>0</v>
      </c>
      <c r="I18" s="64">
        <v>0</v>
      </c>
      <c r="J18" s="64">
        <v>0</v>
      </c>
      <c r="L18" s="98"/>
      <c r="M18" s="2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3:39" x14ac:dyDescent="0.35">
      <c r="C19" s="15"/>
      <c r="D19" s="34" t="s">
        <v>18</v>
      </c>
      <c r="E19" s="16">
        <v>0</v>
      </c>
      <c r="F19" s="44">
        <f>SUM(F10:F18)</f>
        <v>0</v>
      </c>
      <c r="G19" s="31"/>
      <c r="H19" s="26">
        <f>SUM(H10:H18)</f>
        <v>0</v>
      </c>
      <c r="I19" s="66">
        <f>SUM(I10:I18)</f>
        <v>0</v>
      </c>
      <c r="J19" s="66">
        <f>SUM(J10:J18)</f>
        <v>0</v>
      </c>
      <c r="L19" s="98"/>
      <c r="M19" s="2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3:39" x14ac:dyDescent="0.35">
      <c r="C20" s="15"/>
      <c r="D20" s="23" t="s">
        <v>6</v>
      </c>
      <c r="E20" s="24">
        <f>E19+E9</f>
        <v>10000000</v>
      </c>
      <c r="F20" s="22">
        <f>F9</f>
        <v>10000000</v>
      </c>
      <c r="G20" s="31"/>
      <c r="H20" s="22">
        <f>+H19+H9</f>
        <v>10000000</v>
      </c>
      <c r="I20" s="68">
        <f>+I19+I9</f>
        <v>10000000</v>
      </c>
      <c r="J20" s="68">
        <f>+J19+J9</f>
        <v>10000000</v>
      </c>
      <c r="M20" s="2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3:39" x14ac:dyDescent="0.35">
      <c r="C21" s="15"/>
      <c r="D21" s="35"/>
      <c r="E21" s="35"/>
      <c r="F21" s="35"/>
      <c r="G21" s="31"/>
      <c r="H21" s="31"/>
      <c r="I21" s="53"/>
      <c r="M21" s="2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3:39" x14ac:dyDescent="0.35">
      <c r="C22" s="15" t="s">
        <v>16</v>
      </c>
      <c r="D22" s="34" t="s">
        <v>8</v>
      </c>
      <c r="E22" s="19">
        <f t="shared" ref="E22:F28" si="0">C49*C59</f>
        <v>0</v>
      </c>
      <c r="F22" s="19">
        <f t="shared" si="0"/>
        <v>0</v>
      </c>
      <c r="G22" s="36" t="s">
        <v>16</v>
      </c>
      <c r="H22" s="23" t="s">
        <v>30</v>
      </c>
      <c r="I22" s="51" t="s">
        <v>52</v>
      </c>
      <c r="J22" s="51" t="s">
        <v>55</v>
      </c>
      <c r="M22" s="2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3:39" x14ac:dyDescent="0.35">
      <c r="C23" s="15"/>
      <c r="D23" s="34" t="s">
        <v>9</v>
      </c>
      <c r="E23" s="19">
        <f t="shared" si="0"/>
        <v>12500</v>
      </c>
      <c r="F23" s="19">
        <f t="shared" si="0"/>
        <v>12500</v>
      </c>
      <c r="G23" s="37" t="s">
        <v>20</v>
      </c>
      <c r="H23" s="35">
        <f t="shared" ref="H23:H28" si="1">G49*H49</f>
        <v>0</v>
      </c>
      <c r="I23" s="71">
        <f>J73</f>
        <v>0</v>
      </c>
      <c r="J23" s="96">
        <f>J83</f>
        <v>0</v>
      </c>
      <c r="M23" s="2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3:39" x14ac:dyDescent="0.35">
      <c r="C24" s="15"/>
      <c r="D24" s="34" t="s">
        <v>10</v>
      </c>
      <c r="E24" s="19">
        <f t="shared" si="0"/>
        <v>50000</v>
      </c>
      <c r="F24" s="19">
        <f t="shared" si="0"/>
        <v>25000</v>
      </c>
      <c r="G24" s="34" t="s">
        <v>21</v>
      </c>
      <c r="H24" s="35">
        <f t="shared" si="1"/>
        <v>15000</v>
      </c>
      <c r="I24" s="71">
        <f t="shared" ref="I24:I28" si="2">J74</f>
        <v>20000</v>
      </c>
      <c r="J24" s="96">
        <f t="shared" ref="J24:J29" si="3">J84</f>
        <v>20000</v>
      </c>
      <c r="M24" s="2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3:39" x14ac:dyDescent="0.35">
      <c r="C25" s="15"/>
      <c r="D25" s="34" t="s">
        <v>11</v>
      </c>
      <c r="E25" s="19">
        <f t="shared" si="0"/>
        <v>50000</v>
      </c>
      <c r="F25" s="19">
        <f t="shared" si="0"/>
        <v>37500</v>
      </c>
      <c r="G25" s="34" t="s">
        <v>22</v>
      </c>
      <c r="H25" s="35">
        <f t="shared" si="1"/>
        <v>30000</v>
      </c>
      <c r="I25" s="71">
        <f t="shared" si="2"/>
        <v>30000</v>
      </c>
      <c r="J25" s="96">
        <f t="shared" si="3"/>
        <v>40000</v>
      </c>
      <c r="M25" s="2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3:39" x14ac:dyDescent="0.35">
      <c r="C26" s="15"/>
      <c r="D26" s="34" t="s">
        <v>12</v>
      </c>
      <c r="E26" s="19">
        <f t="shared" si="0"/>
        <v>75000</v>
      </c>
      <c r="F26" s="19">
        <f t="shared" si="0"/>
        <v>50000</v>
      </c>
      <c r="G26" s="38" t="s">
        <v>23</v>
      </c>
      <c r="H26" s="35">
        <f t="shared" si="1"/>
        <v>45000</v>
      </c>
      <c r="I26" s="71">
        <f t="shared" si="2"/>
        <v>30000</v>
      </c>
      <c r="J26" s="96">
        <f t="shared" si="3"/>
        <v>60000</v>
      </c>
      <c r="M26" s="2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3:39" x14ac:dyDescent="0.35">
      <c r="C27" s="15"/>
      <c r="D27" s="34" t="s">
        <v>13</v>
      </c>
      <c r="E27" s="19">
        <f t="shared" si="0"/>
        <v>75000</v>
      </c>
      <c r="F27" s="19">
        <f t="shared" si="0"/>
        <v>62500</v>
      </c>
      <c r="G27" s="34" t="s">
        <v>24</v>
      </c>
      <c r="H27" s="35">
        <f t="shared" si="1"/>
        <v>60000</v>
      </c>
      <c r="I27" s="71">
        <f t="shared" si="2"/>
        <v>60000</v>
      </c>
      <c r="J27" s="96">
        <f t="shared" si="3"/>
        <v>80000</v>
      </c>
      <c r="M27" s="2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3:39" x14ac:dyDescent="0.35">
      <c r="C28" s="15"/>
      <c r="D28" s="34" t="s">
        <v>14</v>
      </c>
      <c r="E28" s="19">
        <f t="shared" si="0"/>
        <v>2550000</v>
      </c>
      <c r="F28" s="19">
        <f t="shared" si="0"/>
        <v>2550000</v>
      </c>
      <c r="G28" s="34" t="s">
        <v>14</v>
      </c>
      <c r="H28" s="35">
        <f t="shared" si="1"/>
        <v>2550000</v>
      </c>
      <c r="I28" s="71">
        <f t="shared" si="2"/>
        <v>2550000</v>
      </c>
      <c r="J28" s="96">
        <f t="shared" si="3"/>
        <v>100000</v>
      </c>
      <c r="M28" s="2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3:39" x14ac:dyDescent="0.35">
      <c r="C29" s="20"/>
      <c r="J29" s="96">
        <f t="shared" si="3"/>
        <v>2280000</v>
      </c>
      <c r="M29" s="2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3:39" x14ac:dyDescent="0.35">
      <c r="D30" s="39" t="s">
        <v>33</v>
      </c>
      <c r="E30" s="22">
        <f>SUM(E22:E28)</f>
        <v>2812500</v>
      </c>
      <c r="F30" s="22">
        <f>SUM(F22:F28)</f>
        <v>2737500</v>
      </c>
      <c r="G30" s="39" t="s">
        <v>33</v>
      </c>
      <c r="H30" s="22">
        <f>SUM(H23:H28)</f>
        <v>2700000</v>
      </c>
      <c r="I30" s="68">
        <f>IF(I20&lt;=700000,SUM(I23:I28),IF(SUM(I23:I28)&gt;(I20-700000),(I20-700000),SUM(I23:I28)))</f>
        <v>2690000</v>
      </c>
      <c r="J30" s="96">
        <f>IF(J20&lt;=1200000,SUM(J23:J29),IF(SUM(J23:J29)&gt;(J20-1200000),(J20-1200000),SUM(J23:J29)))</f>
        <v>2580000</v>
      </c>
      <c r="M30" s="2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3:39" x14ac:dyDescent="0.35">
      <c r="D31" s="40" t="s">
        <v>32</v>
      </c>
      <c r="E31" s="30">
        <f>IF(E20&lt;=500000,E30,0)</f>
        <v>0</v>
      </c>
      <c r="F31" s="14">
        <v>0</v>
      </c>
      <c r="G31" s="40" t="s">
        <v>32</v>
      </c>
      <c r="H31" s="14">
        <f>IF(H20&lt;=700000,H30,0)</f>
        <v>0</v>
      </c>
      <c r="I31" s="14">
        <f>IF(I20&lt;=700000,I30,0)</f>
        <v>0</v>
      </c>
      <c r="J31" s="14">
        <f>IF(J20&lt;=700000,J30,0)</f>
        <v>0</v>
      </c>
      <c r="M31" s="2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3:39" x14ac:dyDescent="0.35">
      <c r="D32" s="34" t="s">
        <v>37</v>
      </c>
      <c r="E32" s="30">
        <f>IF(E20&lt;=5000000,E30*0,IF(E20&lt;=10000000,E30*0.1,IF(E20&lt;=20000000,E30*0.15,IF(E20&lt;=50000000,E30*0.25,E30*0.37))))</f>
        <v>281250</v>
      </c>
      <c r="F32" s="30">
        <f>IF(F20&lt;=5000000,F30*0,IF(F20&lt;=10000000,F30*0.1,IF(F20&lt;=20000000,F30*0.15,IF(F20&lt;=50000000,F30*0.25,F30*0.37))))</f>
        <v>273750</v>
      </c>
      <c r="G32" s="43"/>
      <c r="H32" s="30">
        <f>IF(H20&lt;=5000000,H30*0,IF(H20&lt;=10000000,H30*0.1,IF(H20&lt;=20000000,H30*0.15,IF(H20&lt;=50000000,H30*0.25,H30*0.25))))</f>
        <v>270000</v>
      </c>
      <c r="I32" s="30">
        <f>IF(I20&lt;=5000000,I30*0,IF(I20&lt;=10000000,I30*0.1,IF(I20&lt;=20000000,I30*0.15,IF(I20&lt;=50000000,I30*0.25,I30*0.25))))</f>
        <v>269000</v>
      </c>
      <c r="J32" s="30">
        <f>IF(J20&lt;=5000000,J30*0,IF(J20&lt;=10000000,J30*0.1,IF(J20&lt;=20000000,J30*0.15,IF(J20&lt;=50000000,J30*0.25,J30*0.25))))</f>
        <v>258000</v>
      </c>
      <c r="M32" s="2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35">
      <c r="D33" s="34" t="s">
        <v>44</v>
      </c>
      <c r="E33" s="30">
        <f>E30+E32</f>
        <v>3093750</v>
      </c>
      <c r="F33" s="30">
        <f>F30+F32</f>
        <v>3011250</v>
      </c>
      <c r="G33" s="43"/>
      <c r="H33" s="30">
        <f>H30+H32</f>
        <v>2970000</v>
      </c>
      <c r="I33" s="30">
        <f>I30+I32</f>
        <v>2959000</v>
      </c>
      <c r="J33" s="30">
        <f>J30+J32</f>
        <v>2838000</v>
      </c>
      <c r="M33" s="2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5">
      <c r="D34" s="34" t="s">
        <v>35</v>
      </c>
      <c r="E34" s="30">
        <f>(E33-E31)*4%</f>
        <v>123750</v>
      </c>
      <c r="F34" s="30">
        <f>(F33-F31)*4%</f>
        <v>120450</v>
      </c>
      <c r="G34" s="42"/>
      <c r="H34" s="30">
        <f>(H33-H31)*4%</f>
        <v>118800</v>
      </c>
      <c r="I34" s="30">
        <f>(I33-I31)*4%</f>
        <v>118360</v>
      </c>
      <c r="J34" s="30">
        <f>(J33-J31)*4%</f>
        <v>113520</v>
      </c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35">
      <c r="D35" s="39" t="s">
        <v>31</v>
      </c>
      <c r="E35" s="30">
        <f>E30-E31+E34+E32</f>
        <v>3217500</v>
      </c>
      <c r="F35" s="30">
        <f>F30-F31+F34</f>
        <v>2857950</v>
      </c>
      <c r="G35" s="40" t="s">
        <v>31</v>
      </c>
      <c r="H35" s="30">
        <f>H30-H31+H34</f>
        <v>2818800</v>
      </c>
      <c r="I35" s="30">
        <f>I30-I31+I34</f>
        <v>2808360</v>
      </c>
      <c r="J35" s="30">
        <f>J30-J31+J34</f>
        <v>2693520</v>
      </c>
      <c r="M35" s="2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35">
      <c r="M36" s="2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35"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35"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35"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35">
      <c r="M40" s="2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35">
      <c r="M41" s="2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35">
      <c r="M42" s="2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35">
      <c r="M43" s="2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35"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35"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35"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35"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35">
      <c r="B48" s="1"/>
      <c r="C48" s="23" t="s">
        <v>7</v>
      </c>
      <c r="D48" s="23" t="s">
        <v>26</v>
      </c>
      <c r="G48" s="23" t="s">
        <v>27</v>
      </c>
      <c r="H48" t="s">
        <v>25</v>
      </c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35">
      <c r="B49" s="6" t="s">
        <v>8</v>
      </c>
      <c r="C49" s="7">
        <f>MIN(E$20,250000)</f>
        <v>250000</v>
      </c>
      <c r="D49" s="8">
        <f>MIN(F$20,250000)</f>
        <v>250000</v>
      </c>
      <c r="F49" s="6" t="s">
        <v>20</v>
      </c>
      <c r="G49" s="2">
        <f>MIN($H$20,300000)</f>
        <v>300000</v>
      </c>
      <c r="H49" s="5">
        <v>0</v>
      </c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35">
      <c r="B50" s="9" t="s">
        <v>9</v>
      </c>
      <c r="C50" s="3">
        <f>MAX(MIN(E$20-C49,250000),0)</f>
        <v>250000</v>
      </c>
      <c r="D50" s="10">
        <f>MAX(MIN(F$20-D49,250000),0)</f>
        <v>250000</v>
      </c>
      <c r="F50" s="9" t="s">
        <v>21</v>
      </c>
      <c r="G50" s="2">
        <f>MAX(MIN(H$20-$G$49,300000),0)</f>
        <v>300000</v>
      </c>
      <c r="H50" s="5">
        <v>0.05</v>
      </c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5">
      <c r="B51" s="9" t="s">
        <v>10</v>
      </c>
      <c r="C51" s="3">
        <f>MAX(MIN(E$20-C$50-C$49,250000),0)</f>
        <v>250000</v>
      </c>
      <c r="D51" s="10">
        <f>MAX(MIN(F$20-D$50-D$49,250000),0)</f>
        <v>250000</v>
      </c>
      <c r="F51" s="9" t="s">
        <v>22</v>
      </c>
      <c r="G51" s="2">
        <f>MAX(MIN(H$20-$G$50-$G$49,300000),0)</f>
        <v>300000</v>
      </c>
      <c r="H51" s="5">
        <v>0.1</v>
      </c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35">
      <c r="B52" s="9" t="s">
        <v>11</v>
      </c>
      <c r="C52" s="3">
        <f>MAX(MIN(E$20-C$50-C$51-C$49,250000),0)</f>
        <v>250000</v>
      </c>
      <c r="D52" s="10">
        <f>MAX(MIN(F$20-D$50-D$51-D$49,250000),0)</f>
        <v>250000</v>
      </c>
      <c r="F52" s="27" t="s">
        <v>23</v>
      </c>
      <c r="G52" s="2">
        <f>MAX(MIN(H$20-$G$49-$G$50-$G$51,300000),0)</f>
        <v>300000</v>
      </c>
      <c r="H52" s="5">
        <v>0.15</v>
      </c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35">
      <c r="B53" s="9" t="s">
        <v>12</v>
      </c>
      <c r="C53" s="3">
        <f>MAX(MIN(E$20-C$50-C$51-C$52-C$49,250000),0)</f>
        <v>250000</v>
      </c>
      <c r="D53" s="10">
        <f>MAX(MIN(F$20-D$50-D$51-D$52-D$49,250000),0)</f>
        <v>250000</v>
      </c>
      <c r="F53" s="9" t="s">
        <v>24</v>
      </c>
      <c r="G53" s="2">
        <f>MAX(MIN(H$20-$G$49-$G$50-$G$51-$G$52,300000),0)</f>
        <v>300000</v>
      </c>
      <c r="H53" s="5">
        <v>0.2</v>
      </c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35">
      <c r="B54" s="9" t="s">
        <v>13</v>
      </c>
      <c r="C54" s="3">
        <f>MAX(MIN(E$20-C$50-C$51-C$52-C$49-C$53,250000),0)</f>
        <v>250000</v>
      </c>
      <c r="D54" s="10">
        <f>MAX(MIN(F$20-D$50-D$51-D$52-D$49-D$53,250000),0)</f>
        <v>250000</v>
      </c>
      <c r="F54" s="9" t="s">
        <v>14</v>
      </c>
      <c r="G54" s="2">
        <f>MAX(MIN(H$20-$G$49-$G$50-$G$51-$G$52-$G$53,F$20),0)</f>
        <v>8500000</v>
      </c>
      <c r="H54" s="5">
        <v>0.3</v>
      </c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35">
      <c r="B55" s="9" t="s">
        <v>14</v>
      </c>
      <c r="C55" s="3">
        <f>MAX(MIN(E$20-C$50-C$51-C$52-C$49-C$53-C$54,E$20),0)</f>
        <v>8500000</v>
      </c>
      <c r="D55" s="10">
        <f>MAX(MIN(F$20-D$50-D$51-D$52-D$49-D$53-D$54,F$20),0)</f>
        <v>8500000</v>
      </c>
      <c r="F55" s="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35">
      <c r="B56" s="11" t="s">
        <v>15</v>
      </c>
      <c r="C56" s="12">
        <f>SUM(C49:C55)</f>
        <v>10000000</v>
      </c>
      <c r="D56" s="13">
        <f>SUM(D49:D55)</f>
        <v>10000000</v>
      </c>
      <c r="F56" s="11"/>
      <c r="G56" s="3"/>
      <c r="H56" s="3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35"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35">
      <c r="C58" t="s">
        <v>17</v>
      </c>
      <c r="D58" s="23" t="s">
        <v>26</v>
      </c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35">
      <c r="C59" s="5">
        <v>0</v>
      </c>
      <c r="D59" s="5">
        <v>0</v>
      </c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35">
      <c r="C60" s="5">
        <v>0.05</v>
      </c>
      <c r="D60" s="5">
        <v>0.05</v>
      </c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35">
      <c r="C61" s="5">
        <v>0.2</v>
      </c>
      <c r="D61" s="5">
        <v>0.1</v>
      </c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35">
      <c r="C62" s="5">
        <v>0.2</v>
      </c>
      <c r="D62" s="5">
        <v>0.15</v>
      </c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35">
      <c r="C63" s="5">
        <v>0.3</v>
      </c>
      <c r="D63" s="5">
        <v>0.2</v>
      </c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35">
      <c r="C64" s="5">
        <v>0.3</v>
      </c>
      <c r="D64" s="5">
        <v>0.25</v>
      </c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5">
      <c r="C65" s="5">
        <v>0.3</v>
      </c>
      <c r="D65" s="5">
        <v>0.3</v>
      </c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5"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35"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35"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5"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5"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5"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5">
      <c r="A72" s="46"/>
      <c r="B72" s="46"/>
      <c r="C72" s="46"/>
      <c r="D72" s="46"/>
      <c r="E72" s="46"/>
      <c r="F72" s="46"/>
      <c r="G72" s="46"/>
      <c r="H72" s="46"/>
      <c r="I72" s="51" t="s">
        <v>51</v>
      </c>
      <c r="J72" s="46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E73" s="46"/>
      <c r="F73" s="46"/>
      <c r="G73" s="46"/>
      <c r="H73" s="46"/>
      <c r="I73" s="83">
        <v>0</v>
      </c>
      <c r="J73" s="46">
        <f t="shared" ref="J73:J78" si="4">D73*I73</f>
        <v>0</v>
      </c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E74" s="46"/>
      <c r="F74" s="46"/>
      <c r="G74" s="46"/>
      <c r="H74" s="46"/>
      <c r="I74" s="83">
        <v>0.05</v>
      </c>
      <c r="J74" s="46">
        <f t="shared" si="4"/>
        <v>20000</v>
      </c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E75" s="46"/>
      <c r="F75" s="46"/>
      <c r="G75" s="46"/>
      <c r="H75" s="46"/>
      <c r="I75" s="83">
        <v>0.1</v>
      </c>
      <c r="J75" s="46">
        <f t="shared" si="4"/>
        <v>30000</v>
      </c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E76" s="46"/>
      <c r="F76" s="46"/>
      <c r="G76" s="46"/>
      <c r="H76" s="46"/>
      <c r="I76" s="83">
        <v>0.15</v>
      </c>
      <c r="J76" s="46">
        <f t="shared" si="4"/>
        <v>30000</v>
      </c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300000</v>
      </c>
      <c r="E77" s="46"/>
      <c r="F77" s="46"/>
      <c r="G77" s="46"/>
      <c r="H77" s="46"/>
      <c r="I77" s="83">
        <v>0.2</v>
      </c>
      <c r="J77" s="46">
        <f t="shared" si="4"/>
        <v>60000</v>
      </c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35">
      <c r="A78">
        <v>1500000</v>
      </c>
      <c r="B78" s="2">
        <f>I20</f>
        <v>10000000</v>
      </c>
      <c r="C78" s="46">
        <f t="shared" si="5"/>
        <v>8500000</v>
      </c>
      <c r="D78" s="48">
        <f>MAX(MIN(I$20-D73-D74-D75-D76-D77,C78),0)</f>
        <v>8500000</v>
      </c>
      <c r="E78" s="46"/>
      <c r="F78" s="46"/>
      <c r="G78" s="46"/>
      <c r="H78" s="46"/>
      <c r="I78" s="83">
        <v>0.3</v>
      </c>
      <c r="J78" s="46">
        <f t="shared" si="4"/>
        <v>2550000</v>
      </c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35">
      <c r="A79" s="46"/>
      <c r="B79" s="46"/>
      <c r="C79" s="46"/>
      <c r="D79" s="48"/>
      <c r="E79" s="46"/>
      <c r="F79" s="46"/>
      <c r="G79" s="46"/>
      <c r="H79" s="46"/>
      <c r="I79" s="53" t="s">
        <v>15</v>
      </c>
      <c r="J79" s="53">
        <f>SUM(J72:J78)</f>
        <v>2690000</v>
      </c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35"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5"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35">
      <c r="A82" s="46"/>
      <c r="B82" s="46"/>
      <c r="C82" s="46"/>
      <c r="D82" s="46"/>
      <c r="E82" s="46"/>
      <c r="F82" s="46"/>
      <c r="G82" s="46"/>
      <c r="H82" s="46"/>
      <c r="I82" s="51" t="s">
        <v>56</v>
      </c>
      <c r="J82" s="46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35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E83" s="46"/>
      <c r="F83" s="46"/>
      <c r="G83" s="46"/>
      <c r="H83" s="46"/>
      <c r="I83" s="83">
        <v>0</v>
      </c>
      <c r="J83" s="46">
        <f t="shared" ref="J83:J89" si="6">D83*I83</f>
        <v>0</v>
      </c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35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E84" s="46"/>
      <c r="F84" s="46"/>
      <c r="G84" s="46"/>
      <c r="H84" s="46"/>
      <c r="I84" s="83">
        <v>0.05</v>
      </c>
      <c r="J84" s="46">
        <f t="shared" si="6"/>
        <v>20000</v>
      </c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5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E85" s="46"/>
      <c r="F85" s="46"/>
      <c r="G85" s="46"/>
      <c r="H85" s="46"/>
      <c r="I85" s="83">
        <v>0.1</v>
      </c>
      <c r="J85" s="46">
        <f t="shared" si="6"/>
        <v>40000</v>
      </c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35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400000</v>
      </c>
      <c r="E86" s="46"/>
      <c r="F86" s="46"/>
      <c r="G86" s="46"/>
      <c r="H86" s="46"/>
      <c r="I86" s="83">
        <v>0.15</v>
      </c>
      <c r="J86" s="46">
        <f t="shared" si="6"/>
        <v>60000</v>
      </c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5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400000</v>
      </c>
      <c r="E87" s="46"/>
      <c r="F87" s="46"/>
      <c r="G87" s="46"/>
      <c r="H87" s="46"/>
      <c r="I87" s="83">
        <v>0.2</v>
      </c>
      <c r="J87" s="46">
        <f t="shared" si="6"/>
        <v>80000</v>
      </c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5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400000</v>
      </c>
      <c r="E88" s="46"/>
      <c r="F88" s="46"/>
      <c r="G88" s="46"/>
      <c r="H88" s="46"/>
      <c r="I88" s="83">
        <v>0.25</v>
      </c>
      <c r="J88" s="46">
        <f t="shared" si="6"/>
        <v>100000</v>
      </c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5">
      <c r="A89" s="46">
        <v>2400000</v>
      </c>
      <c r="B89" s="48">
        <f>J20</f>
        <v>10000000</v>
      </c>
      <c r="C89" s="46">
        <f t="shared" si="7"/>
        <v>7600000</v>
      </c>
      <c r="D89" s="48">
        <f>MAX(MIN(J$20-D84-D85-D86-D87-D88,C89),0)</f>
        <v>7600000</v>
      </c>
      <c r="E89" s="46"/>
      <c r="F89" s="46"/>
      <c r="G89" s="46"/>
      <c r="H89" s="46"/>
      <c r="I89" s="83">
        <v>0.3</v>
      </c>
      <c r="J89" s="46">
        <f t="shared" si="6"/>
        <v>2280000</v>
      </c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5">
      <c r="A90" s="46"/>
      <c r="B90" s="46"/>
      <c r="C90" s="46"/>
      <c r="D90" s="46"/>
      <c r="E90" s="46"/>
      <c r="F90" s="46"/>
      <c r="G90" s="46"/>
      <c r="H90" s="46"/>
      <c r="I90" s="53" t="s">
        <v>15</v>
      </c>
      <c r="J90" s="53">
        <f>SUM(J83:J89)</f>
        <v>2580000</v>
      </c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5"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5"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5"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5"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5"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5"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3:39" x14ac:dyDescent="0.35"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3:39" x14ac:dyDescent="0.35"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3:39" x14ac:dyDescent="0.35"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3:39" x14ac:dyDescent="0.35"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3:39" x14ac:dyDescent="0.35"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3:39" x14ac:dyDescent="0.35"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3:39" x14ac:dyDescent="0.35"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3:39" x14ac:dyDescent="0.35"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3:39" x14ac:dyDescent="0.35"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3:39" x14ac:dyDescent="0.35"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3:39" x14ac:dyDescent="0.35"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3:39" x14ac:dyDescent="0.35"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3:39" x14ac:dyDescent="0.35"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3:39" x14ac:dyDescent="0.35"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3:39" x14ac:dyDescent="0.35"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3:39" x14ac:dyDescent="0.35"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3:39" x14ac:dyDescent="0.35"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3:39" x14ac:dyDescent="0.35"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3:39" x14ac:dyDescent="0.35"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3:39" x14ac:dyDescent="0.35"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20" spans="13:39" x14ac:dyDescent="0.35">
      <c r="M120" s="28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13:39" x14ac:dyDescent="0.35">
      <c r="M121" s="29"/>
    </row>
    <row r="122" spans="13:39" x14ac:dyDescent="0.35">
      <c r="M122" s="29"/>
    </row>
    <row r="123" spans="13:39" x14ac:dyDescent="0.35">
      <c r="M123" s="29"/>
    </row>
    <row r="124" spans="13:39" x14ac:dyDescent="0.35">
      <c r="M124" s="29"/>
    </row>
    <row r="125" spans="13:39" x14ac:dyDescent="0.35">
      <c r="M125" s="29"/>
    </row>
    <row r="126" spans="13:39" x14ac:dyDescent="0.35">
      <c r="M126" s="29"/>
    </row>
    <row r="127" spans="13:39" x14ac:dyDescent="0.35">
      <c r="M127" s="29"/>
    </row>
    <row r="128" spans="13:39" x14ac:dyDescent="0.35">
      <c r="M128" s="29"/>
    </row>
    <row r="129" spans="13:13" x14ac:dyDescent="0.35">
      <c r="M129" s="29"/>
    </row>
    <row r="130" spans="13:13" x14ac:dyDescent="0.35">
      <c r="M130" s="29"/>
    </row>
    <row r="131" spans="13:13" x14ac:dyDescent="0.35">
      <c r="M131" s="29"/>
    </row>
    <row r="132" spans="13:13" x14ac:dyDescent="0.35">
      <c r="M132" s="29"/>
    </row>
    <row r="133" spans="13:13" x14ac:dyDescent="0.35">
      <c r="M133" s="29"/>
    </row>
    <row r="134" spans="13:13" x14ac:dyDescent="0.35">
      <c r="M134" s="29"/>
    </row>
    <row r="135" spans="13:13" x14ac:dyDescent="0.35">
      <c r="M135" s="29"/>
    </row>
    <row r="136" spans="13:13" x14ac:dyDescent="0.35">
      <c r="M136" s="29"/>
    </row>
    <row r="137" spans="13:13" x14ac:dyDescent="0.35">
      <c r="M137" s="29"/>
    </row>
    <row r="138" spans="13:13" x14ac:dyDescent="0.35">
      <c r="M138" s="29"/>
    </row>
    <row r="139" spans="13:13" x14ac:dyDescent="0.35">
      <c r="M139" s="29"/>
    </row>
    <row r="140" spans="13:13" x14ac:dyDescent="0.35">
      <c r="M140" s="29"/>
    </row>
    <row r="141" spans="13:13" x14ac:dyDescent="0.35">
      <c r="M141" s="29"/>
    </row>
    <row r="142" spans="13:13" x14ac:dyDescent="0.35">
      <c r="M142" s="29"/>
    </row>
    <row r="143" spans="13:13" x14ac:dyDescent="0.35">
      <c r="M143" s="29"/>
    </row>
    <row r="144" spans="13:13" x14ac:dyDescent="0.35">
      <c r="M144" s="29"/>
    </row>
    <row r="145" spans="13:13" x14ac:dyDescent="0.35">
      <c r="M145" s="29"/>
    </row>
    <row r="146" spans="13:13" x14ac:dyDescent="0.35">
      <c r="M146" s="29"/>
    </row>
    <row r="147" spans="13:13" x14ac:dyDescent="0.35">
      <c r="M147" s="29"/>
    </row>
    <row r="148" spans="13:13" x14ac:dyDescent="0.35">
      <c r="M148" s="29"/>
    </row>
    <row r="149" spans="13:13" x14ac:dyDescent="0.35">
      <c r="M149" s="29"/>
    </row>
    <row r="150" spans="13:13" x14ac:dyDescent="0.35">
      <c r="M150" s="29"/>
    </row>
    <row r="151" spans="13:13" x14ac:dyDescent="0.35">
      <c r="M151" s="29"/>
    </row>
    <row r="152" spans="13:13" x14ac:dyDescent="0.35">
      <c r="M152" s="29"/>
    </row>
    <row r="153" spans="13:13" x14ac:dyDescent="0.35">
      <c r="M153" s="29"/>
    </row>
    <row r="154" spans="13:13" x14ac:dyDescent="0.35">
      <c r="M154" s="29"/>
    </row>
    <row r="155" spans="13:13" x14ac:dyDescent="0.35">
      <c r="M155" s="29"/>
    </row>
    <row r="156" spans="13:13" x14ac:dyDescent="0.35">
      <c r="M156" s="29"/>
    </row>
    <row r="157" spans="13:13" x14ac:dyDescent="0.35">
      <c r="M157" s="29"/>
    </row>
    <row r="158" spans="13:13" x14ac:dyDescent="0.35">
      <c r="M158" s="29"/>
    </row>
    <row r="159" spans="13:13" x14ac:dyDescent="0.35">
      <c r="M159" s="29"/>
    </row>
    <row r="160" spans="13:13" x14ac:dyDescent="0.35">
      <c r="M160" s="29"/>
    </row>
    <row r="161" spans="13:13" x14ac:dyDescent="0.35">
      <c r="M161" s="29"/>
    </row>
    <row r="162" spans="13:13" x14ac:dyDescent="0.35">
      <c r="M162" s="29"/>
    </row>
    <row r="163" spans="13:13" x14ac:dyDescent="0.35">
      <c r="M163" s="29"/>
    </row>
    <row r="164" spans="13:13" x14ac:dyDescent="0.35">
      <c r="M164" s="29"/>
    </row>
    <row r="165" spans="13:13" x14ac:dyDescent="0.35">
      <c r="M165" s="29"/>
    </row>
    <row r="166" spans="13:13" x14ac:dyDescent="0.35">
      <c r="M166" s="29"/>
    </row>
    <row r="167" spans="13:13" x14ac:dyDescent="0.35">
      <c r="M167" s="29"/>
    </row>
    <row r="168" spans="13:13" x14ac:dyDescent="0.35">
      <c r="M168" s="29"/>
    </row>
    <row r="169" spans="13:13" x14ac:dyDescent="0.35">
      <c r="M169" s="29"/>
    </row>
    <row r="170" spans="13:13" x14ac:dyDescent="0.35">
      <c r="M170" s="29"/>
    </row>
    <row r="171" spans="13:13" x14ac:dyDescent="0.35">
      <c r="M171" s="29"/>
    </row>
    <row r="172" spans="13:13" x14ac:dyDescent="0.35">
      <c r="M172" s="29"/>
    </row>
    <row r="173" spans="13:13" x14ac:dyDescent="0.35">
      <c r="M173" s="29"/>
    </row>
    <row r="174" spans="13:13" x14ac:dyDescent="0.35">
      <c r="M174" s="29"/>
    </row>
    <row r="175" spans="13:13" x14ac:dyDescent="0.35">
      <c r="M175" s="29"/>
    </row>
    <row r="176" spans="13:13" x14ac:dyDescent="0.35">
      <c r="M176" s="29"/>
    </row>
    <row r="177" spans="13:13" x14ac:dyDescent="0.35">
      <c r="M177" s="29"/>
    </row>
    <row r="178" spans="13:13" x14ac:dyDescent="0.35">
      <c r="M178" s="29"/>
    </row>
    <row r="179" spans="13:13" x14ac:dyDescent="0.35">
      <c r="M179" s="29"/>
    </row>
    <row r="180" spans="13:13" x14ac:dyDescent="0.35">
      <c r="M180" s="29"/>
    </row>
    <row r="181" spans="13:13" x14ac:dyDescent="0.35">
      <c r="M181" s="29"/>
    </row>
    <row r="182" spans="13:13" x14ac:dyDescent="0.35">
      <c r="M182" s="29"/>
    </row>
    <row r="183" spans="13:13" x14ac:dyDescent="0.35">
      <c r="M183" s="29"/>
    </row>
    <row r="184" spans="13:13" x14ac:dyDescent="0.35">
      <c r="M184" s="29"/>
    </row>
    <row r="185" spans="13:13" x14ac:dyDescent="0.35">
      <c r="M185" s="29"/>
    </row>
    <row r="186" spans="13:13" x14ac:dyDescent="0.35">
      <c r="M186" s="29"/>
    </row>
    <row r="187" spans="13:13" x14ac:dyDescent="0.35">
      <c r="M187" s="29"/>
    </row>
    <row r="188" spans="13:13" x14ac:dyDescent="0.35">
      <c r="M188" s="29"/>
    </row>
    <row r="189" spans="13:13" x14ac:dyDescent="0.35">
      <c r="M189" s="29"/>
    </row>
    <row r="190" spans="13:13" x14ac:dyDescent="0.35">
      <c r="M190" s="29"/>
    </row>
    <row r="191" spans="13:13" x14ac:dyDescent="0.35">
      <c r="M191" s="29"/>
    </row>
    <row r="192" spans="13:13" x14ac:dyDescent="0.35">
      <c r="M192" s="29"/>
    </row>
    <row r="193" spans="13:13" x14ac:dyDescent="0.35">
      <c r="M193" s="29"/>
    </row>
    <row r="194" spans="13:13" x14ac:dyDescent="0.35">
      <c r="M194" s="29"/>
    </row>
    <row r="195" spans="13:13" x14ac:dyDescent="0.35">
      <c r="M195" s="29"/>
    </row>
    <row r="196" spans="13:13" x14ac:dyDescent="0.35">
      <c r="M196" s="29"/>
    </row>
    <row r="197" spans="13:13" x14ac:dyDescent="0.35">
      <c r="M197" s="29"/>
    </row>
    <row r="198" spans="13:13" x14ac:dyDescent="0.35">
      <c r="M198" s="29"/>
    </row>
    <row r="199" spans="13:13" x14ac:dyDescent="0.35">
      <c r="M199" s="29"/>
    </row>
    <row r="200" spans="13:13" x14ac:dyDescent="0.35">
      <c r="M200" s="29"/>
    </row>
    <row r="201" spans="13:13" x14ac:dyDescent="0.35">
      <c r="M201" s="29"/>
    </row>
    <row r="202" spans="13:13" x14ac:dyDescent="0.35">
      <c r="M202" s="29"/>
    </row>
    <row r="203" spans="13:13" x14ac:dyDescent="0.35">
      <c r="M203" s="29"/>
    </row>
    <row r="204" spans="13:13" x14ac:dyDescent="0.35">
      <c r="M204" s="29"/>
    </row>
    <row r="205" spans="13:13" x14ac:dyDescent="0.35">
      <c r="M205" s="29"/>
    </row>
    <row r="206" spans="13:13" x14ac:dyDescent="0.35">
      <c r="M206" s="29"/>
    </row>
    <row r="207" spans="13:13" x14ac:dyDescent="0.35">
      <c r="M207" s="29"/>
    </row>
    <row r="208" spans="13:13" x14ac:dyDescent="0.35">
      <c r="M208" s="29"/>
    </row>
    <row r="209" spans="13:13" x14ac:dyDescent="0.35">
      <c r="M209" s="29"/>
    </row>
    <row r="210" spans="13:13" x14ac:dyDescent="0.35">
      <c r="M210" s="29"/>
    </row>
    <row r="211" spans="13:13" x14ac:dyDescent="0.35">
      <c r="M211" s="29"/>
    </row>
    <row r="212" spans="13:13" x14ac:dyDescent="0.35">
      <c r="M212" s="29"/>
    </row>
    <row r="213" spans="13:13" x14ac:dyDescent="0.35">
      <c r="M213" s="29"/>
    </row>
    <row r="214" spans="13:13" x14ac:dyDescent="0.35">
      <c r="M214" s="29"/>
    </row>
    <row r="215" spans="13:13" x14ac:dyDescent="0.35">
      <c r="M215" s="29"/>
    </row>
    <row r="216" spans="13:13" x14ac:dyDescent="0.35">
      <c r="M216" s="29"/>
    </row>
    <row r="217" spans="13:13" x14ac:dyDescent="0.35">
      <c r="M217" s="29"/>
    </row>
    <row r="218" spans="13:13" x14ac:dyDescent="0.35">
      <c r="M218" s="29"/>
    </row>
    <row r="219" spans="13:13" x14ac:dyDescent="0.35">
      <c r="M219" s="29"/>
    </row>
    <row r="220" spans="13:13" x14ac:dyDescent="0.35">
      <c r="M220" s="29"/>
    </row>
    <row r="221" spans="13:13" x14ac:dyDescent="0.35">
      <c r="M221" s="29"/>
    </row>
    <row r="222" spans="13:13" x14ac:dyDescent="0.35">
      <c r="M222" s="2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60B1-5D38-4F31-B89E-268DA4AC0735}">
  <sheetPr codeName="Sheet5"/>
  <dimension ref="A3:AM222"/>
  <sheetViews>
    <sheetView showGridLines="0" topLeftCell="A63" zoomScaleNormal="100" workbookViewId="0">
      <selection activeCell="D89" sqref="D89"/>
    </sheetView>
  </sheetViews>
  <sheetFormatPr defaultRowHeight="14.5" x14ac:dyDescent="0.35"/>
  <cols>
    <col min="1" max="1" width="10.54296875" customWidth="1"/>
    <col min="3" max="3" width="23.453125" bestFit="1" customWidth="1"/>
    <col min="4" max="4" width="31" customWidth="1"/>
    <col min="5" max="5" width="22.08984375" customWidth="1"/>
    <col min="6" max="6" width="23.6328125" bestFit="1" customWidth="1"/>
    <col min="7" max="7" width="21.1796875" bestFit="1" customWidth="1"/>
    <col min="8" max="8" width="20.81640625" bestFit="1" customWidth="1"/>
    <col min="9" max="10" width="12.54296875" customWidth="1"/>
    <col min="12" max="12" width="4.36328125" bestFit="1" customWidth="1"/>
    <col min="13" max="13" width="15.453125" bestFit="1" customWidth="1"/>
    <col min="14" max="14" width="11.453125" bestFit="1" customWidth="1"/>
    <col min="15" max="15" width="11.54296875" bestFit="1" customWidth="1"/>
    <col min="16" max="19" width="13.453125" bestFit="1" customWidth="1"/>
    <col min="20" max="23" width="13.90625" bestFit="1" customWidth="1"/>
    <col min="24" max="24" width="15" bestFit="1" customWidth="1"/>
    <col min="25" max="39" width="13.90625" bestFit="1" customWidth="1"/>
  </cols>
  <sheetData>
    <row r="3" spans="3:39" ht="29" x14ac:dyDescent="0.35">
      <c r="C3" s="25" t="s">
        <v>19</v>
      </c>
    </row>
    <row r="5" spans="3:39" x14ac:dyDescent="0.35">
      <c r="D5" t="s">
        <v>36</v>
      </c>
      <c r="E5" s="41" t="str">
        <f>'After Budget 2025'!E5</f>
        <v>N</v>
      </c>
    </row>
    <row r="6" spans="3:39" x14ac:dyDescent="0.35">
      <c r="C6" s="2"/>
      <c r="D6" s="2" t="s">
        <v>34</v>
      </c>
      <c r="E6" s="2"/>
      <c r="F6" s="2"/>
      <c r="G6" s="2"/>
      <c r="H6" s="2"/>
      <c r="I6" s="2"/>
      <c r="J6" s="2"/>
      <c r="K6" s="2"/>
      <c r="L6" s="2"/>
      <c r="M6" s="2"/>
    </row>
    <row r="7" spans="3:39" x14ac:dyDescent="0.35">
      <c r="G7" s="4"/>
    </row>
    <row r="8" spans="3:39" x14ac:dyDescent="0.35">
      <c r="C8" s="14"/>
      <c r="D8" s="14"/>
      <c r="E8" s="23" t="s">
        <v>29</v>
      </c>
      <c r="F8" s="23" t="s">
        <v>28</v>
      </c>
      <c r="G8" s="31"/>
      <c r="H8" s="23" t="s">
        <v>30</v>
      </c>
      <c r="I8" s="51" t="s">
        <v>52</v>
      </c>
      <c r="J8" s="51" t="s">
        <v>55</v>
      </c>
      <c r="N8" s="1"/>
    </row>
    <row r="9" spans="3:39" x14ac:dyDescent="0.35">
      <c r="C9" s="15"/>
      <c r="D9" s="32" t="s">
        <v>0</v>
      </c>
      <c r="E9" s="16">
        <v>5000000</v>
      </c>
      <c r="F9" s="21">
        <f>E9</f>
        <v>5000000</v>
      </c>
      <c r="G9" s="31"/>
      <c r="H9" s="21">
        <f>F9</f>
        <v>5000000</v>
      </c>
      <c r="I9" s="57">
        <f>H9</f>
        <v>5000000</v>
      </c>
      <c r="J9" s="2">
        <f>H9</f>
        <v>5000000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3:39" ht="15" customHeight="1" x14ac:dyDescent="0.35">
      <c r="C10" s="15"/>
      <c r="D10" s="33" t="s">
        <v>2</v>
      </c>
      <c r="E10" s="17">
        <v>0</v>
      </c>
      <c r="F10" s="17"/>
      <c r="G10" s="31"/>
      <c r="H10" s="17">
        <v>0</v>
      </c>
      <c r="I10" s="52">
        <f>IF(E5="Y",-75000,0)</f>
        <v>0</v>
      </c>
      <c r="J10">
        <f>IF(E5="Y",-75000,0)</f>
        <v>0</v>
      </c>
      <c r="L10" s="98"/>
      <c r="M10" s="2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3:39" x14ac:dyDescent="0.35">
      <c r="C11" s="18" t="s">
        <v>1</v>
      </c>
      <c r="D11" s="34" t="s">
        <v>3</v>
      </c>
      <c r="E11" s="16">
        <v>0</v>
      </c>
      <c r="F11" s="19">
        <v>0</v>
      </c>
      <c r="G11" s="31"/>
      <c r="H11" s="19">
        <v>0</v>
      </c>
      <c r="I11" s="64">
        <v>0</v>
      </c>
      <c r="J11" s="64">
        <v>0</v>
      </c>
      <c r="L11" s="98"/>
      <c r="M11" s="2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3:39" x14ac:dyDescent="0.35">
      <c r="C12" s="15"/>
      <c r="D12" s="34" t="s">
        <v>41</v>
      </c>
      <c r="E12" s="16">
        <v>0</v>
      </c>
      <c r="F12" s="19">
        <f>E12</f>
        <v>0</v>
      </c>
      <c r="G12" s="31"/>
      <c r="H12" s="19">
        <f>E12</f>
        <v>0</v>
      </c>
      <c r="I12" s="94">
        <f>E12</f>
        <v>0</v>
      </c>
      <c r="J12" s="2">
        <f>E12</f>
        <v>0</v>
      </c>
      <c r="L12" s="98"/>
      <c r="M12" s="2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3:39" x14ac:dyDescent="0.35">
      <c r="C13" s="15"/>
      <c r="D13" s="34" t="s">
        <v>38</v>
      </c>
      <c r="E13" s="16">
        <v>0</v>
      </c>
      <c r="F13" s="19">
        <v>0</v>
      </c>
      <c r="G13" s="31"/>
      <c r="H13" s="19">
        <v>0</v>
      </c>
      <c r="I13" s="64">
        <v>0</v>
      </c>
      <c r="J13" s="64">
        <v>0</v>
      </c>
      <c r="L13" s="98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3:39" x14ac:dyDescent="0.35">
      <c r="C14" s="15"/>
      <c r="D14" s="34" t="s">
        <v>4</v>
      </c>
      <c r="E14" s="16">
        <v>0</v>
      </c>
      <c r="F14" s="19">
        <v>0</v>
      </c>
      <c r="G14" s="31"/>
      <c r="H14" s="19">
        <v>0</v>
      </c>
      <c r="I14" s="64">
        <v>0</v>
      </c>
      <c r="J14" s="64">
        <v>0</v>
      </c>
      <c r="L14" s="98"/>
      <c r="M14" s="2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3:39" x14ac:dyDescent="0.35">
      <c r="C15" s="15"/>
      <c r="D15" s="34" t="s">
        <v>5</v>
      </c>
      <c r="E15" s="16"/>
      <c r="F15" s="19">
        <v>0</v>
      </c>
      <c r="G15" s="31"/>
      <c r="H15" s="19">
        <v>0</v>
      </c>
      <c r="I15" s="64">
        <v>0</v>
      </c>
      <c r="J15" s="64">
        <v>0</v>
      </c>
      <c r="L15" s="98"/>
      <c r="M15" s="2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3:39" x14ac:dyDescent="0.35">
      <c r="C16" s="15"/>
      <c r="D16" s="34" t="s">
        <v>39</v>
      </c>
      <c r="E16" s="16"/>
      <c r="F16" s="19">
        <v>0</v>
      </c>
      <c r="G16" s="31"/>
      <c r="H16" s="19">
        <v>0</v>
      </c>
      <c r="I16" s="64">
        <v>0</v>
      </c>
      <c r="J16" s="64">
        <v>0</v>
      </c>
      <c r="L16" s="98"/>
      <c r="M16" s="2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3:39" x14ac:dyDescent="0.35">
      <c r="C17" s="15"/>
      <c r="D17" s="34" t="s">
        <v>40</v>
      </c>
      <c r="E17" s="16">
        <v>0</v>
      </c>
      <c r="F17" s="19">
        <v>0</v>
      </c>
      <c r="G17" s="31"/>
      <c r="H17" s="19">
        <v>0</v>
      </c>
      <c r="I17" s="64">
        <v>0</v>
      </c>
      <c r="J17" s="64">
        <v>0</v>
      </c>
      <c r="L17" s="98"/>
      <c r="M17" s="2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3:39" x14ac:dyDescent="0.35">
      <c r="C18" s="15"/>
      <c r="D18" s="34" t="s">
        <v>42</v>
      </c>
      <c r="E18" s="16"/>
      <c r="F18" s="19">
        <v>0</v>
      </c>
      <c r="G18" s="31"/>
      <c r="H18" s="19">
        <v>0</v>
      </c>
      <c r="I18" s="64">
        <v>0</v>
      </c>
      <c r="J18" s="64">
        <v>0</v>
      </c>
      <c r="L18" s="98"/>
      <c r="M18" s="2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3:39" x14ac:dyDescent="0.35">
      <c r="C19" s="15"/>
      <c r="D19" s="34" t="s">
        <v>18</v>
      </c>
      <c r="E19" s="16">
        <v>0</v>
      </c>
      <c r="F19" s="44">
        <f>SUM(F10:F18)</f>
        <v>0</v>
      </c>
      <c r="G19" s="31"/>
      <c r="H19" s="26">
        <f>SUM(H10:H18)</f>
        <v>0</v>
      </c>
      <c r="I19" s="66">
        <f>SUM(I10:I18)</f>
        <v>0</v>
      </c>
      <c r="J19" s="66">
        <f>SUM(J10:J18)</f>
        <v>0</v>
      </c>
      <c r="L19" s="98"/>
      <c r="M19" s="2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3:39" x14ac:dyDescent="0.35">
      <c r="C20" s="15"/>
      <c r="D20" s="23" t="s">
        <v>6</v>
      </c>
      <c r="E20" s="24">
        <f>E19+E9</f>
        <v>5000000</v>
      </c>
      <c r="F20" s="22">
        <f>F9</f>
        <v>5000000</v>
      </c>
      <c r="G20" s="31"/>
      <c r="H20" s="22">
        <f>+H19+H9</f>
        <v>5000000</v>
      </c>
      <c r="I20" s="68">
        <f>+I19+I9</f>
        <v>5000000</v>
      </c>
      <c r="J20" s="68">
        <f>+J19+J9</f>
        <v>5000000</v>
      </c>
      <c r="M20" s="2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3:39" x14ac:dyDescent="0.35">
      <c r="C21" s="15"/>
      <c r="D21" s="35"/>
      <c r="E21" s="35"/>
      <c r="F21" s="35"/>
      <c r="G21" s="31"/>
      <c r="H21" s="31"/>
      <c r="I21" s="53"/>
      <c r="M21" s="2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3:39" x14ac:dyDescent="0.35">
      <c r="C22" s="15" t="s">
        <v>16</v>
      </c>
      <c r="D22" s="34" t="s">
        <v>8</v>
      </c>
      <c r="E22" s="19">
        <f t="shared" ref="E22:F28" si="0">C49*C59</f>
        <v>0</v>
      </c>
      <c r="F22" s="19">
        <f t="shared" si="0"/>
        <v>0</v>
      </c>
      <c r="G22" s="36" t="s">
        <v>16</v>
      </c>
      <c r="H22" s="23" t="s">
        <v>30</v>
      </c>
      <c r="I22" s="51" t="s">
        <v>52</v>
      </c>
      <c r="J22" s="51" t="s">
        <v>55</v>
      </c>
      <c r="M22" s="2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3:39" x14ac:dyDescent="0.35">
      <c r="C23" s="15"/>
      <c r="D23" s="34" t="s">
        <v>9</v>
      </c>
      <c r="E23" s="19">
        <f t="shared" si="0"/>
        <v>12500</v>
      </c>
      <c r="F23" s="19">
        <f t="shared" si="0"/>
        <v>12500</v>
      </c>
      <c r="G23" s="37" t="s">
        <v>20</v>
      </c>
      <c r="H23" s="35">
        <f t="shared" ref="H23:H28" si="1">G49*H49</f>
        <v>0</v>
      </c>
      <c r="I23" s="71">
        <f>J73</f>
        <v>0</v>
      </c>
      <c r="J23" s="96">
        <f>J83</f>
        <v>0</v>
      </c>
      <c r="M23" s="2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3:39" x14ac:dyDescent="0.35">
      <c r="C24" s="15"/>
      <c r="D24" s="34" t="s">
        <v>10</v>
      </c>
      <c r="E24" s="19">
        <f t="shared" si="0"/>
        <v>50000</v>
      </c>
      <c r="F24" s="19">
        <f t="shared" si="0"/>
        <v>25000</v>
      </c>
      <c r="G24" s="34" t="s">
        <v>21</v>
      </c>
      <c r="H24" s="35">
        <f t="shared" si="1"/>
        <v>15000</v>
      </c>
      <c r="I24" s="71">
        <f t="shared" ref="I24:I28" si="2">J74</f>
        <v>20000</v>
      </c>
      <c r="J24" s="96">
        <f t="shared" ref="J24:J29" si="3">J84</f>
        <v>20000</v>
      </c>
      <c r="M24" s="2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3:39" x14ac:dyDescent="0.35">
      <c r="C25" s="15"/>
      <c r="D25" s="34" t="s">
        <v>11</v>
      </c>
      <c r="E25" s="19">
        <f t="shared" si="0"/>
        <v>50000</v>
      </c>
      <c r="F25" s="19">
        <f t="shared" si="0"/>
        <v>37500</v>
      </c>
      <c r="G25" s="34" t="s">
        <v>22</v>
      </c>
      <c r="H25" s="35">
        <f t="shared" si="1"/>
        <v>30000</v>
      </c>
      <c r="I25" s="71">
        <f t="shared" si="2"/>
        <v>30000</v>
      </c>
      <c r="J25" s="96">
        <f t="shared" si="3"/>
        <v>40000</v>
      </c>
      <c r="M25" s="2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3:39" x14ac:dyDescent="0.35">
      <c r="C26" s="15"/>
      <c r="D26" s="34" t="s">
        <v>12</v>
      </c>
      <c r="E26" s="19">
        <f t="shared" si="0"/>
        <v>75000</v>
      </c>
      <c r="F26" s="19">
        <f t="shared" si="0"/>
        <v>50000</v>
      </c>
      <c r="G26" s="38" t="s">
        <v>23</v>
      </c>
      <c r="H26" s="35">
        <f t="shared" si="1"/>
        <v>45000</v>
      </c>
      <c r="I26" s="71">
        <f t="shared" si="2"/>
        <v>30000</v>
      </c>
      <c r="J26" s="96">
        <f t="shared" si="3"/>
        <v>60000</v>
      </c>
      <c r="M26" s="2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3:39" x14ac:dyDescent="0.35">
      <c r="C27" s="15"/>
      <c r="D27" s="34" t="s">
        <v>13</v>
      </c>
      <c r="E27" s="19">
        <f t="shared" si="0"/>
        <v>75000</v>
      </c>
      <c r="F27" s="19">
        <f t="shared" si="0"/>
        <v>62500</v>
      </c>
      <c r="G27" s="34" t="s">
        <v>24</v>
      </c>
      <c r="H27" s="35">
        <f t="shared" si="1"/>
        <v>60000</v>
      </c>
      <c r="I27" s="71">
        <f t="shared" si="2"/>
        <v>60000</v>
      </c>
      <c r="J27" s="96">
        <f t="shared" si="3"/>
        <v>80000</v>
      </c>
      <c r="M27" s="2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3:39" x14ac:dyDescent="0.35">
      <c r="C28" s="15"/>
      <c r="D28" s="34" t="s">
        <v>14</v>
      </c>
      <c r="E28" s="19">
        <f t="shared" si="0"/>
        <v>1050000</v>
      </c>
      <c r="F28" s="19">
        <f t="shared" si="0"/>
        <v>1050000</v>
      </c>
      <c r="G28" s="34" t="s">
        <v>14</v>
      </c>
      <c r="H28" s="35">
        <f t="shared" si="1"/>
        <v>1050000</v>
      </c>
      <c r="I28" s="71">
        <f t="shared" si="2"/>
        <v>1050000</v>
      </c>
      <c r="J28" s="96">
        <f t="shared" si="3"/>
        <v>100000</v>
      </c>
      <c r="M28" s="2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3:39" x14ac:dyDescent="0.35">
      <c r="C29" s="20"/>
      <c r="J29" s="96">
        <f t="shared" si="3"/>
        <v>780000</v>
      </c>
      <c r="M29" s="2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3:39" x14ac:dyDescent="0.35">
      <c r="D30" s="39" t="s">
        <v>33</v>
      </c>
      <c r="E30" s="22">
        <f>SUM(E22:E28)</f>
        <v>1312500</v>
      </c>
      <c r="F30" s="22">
        <f>SUM(F22:F28)</f>
        <v>1237500</v>
      </c>
      <c r="G30" s="39" t="s">
        <v>33</v>
      </c>
      <c r="H30" s="22">
        <f>SUM(H23:H28)</f>
        <v>1200000</v>
      </c>
      <c r="I30" s="68">
        <f>IF(I20&lt;=700000,SUM(I23:I28),IF(SUM(I23:I28)&gt;(I20-700000),(I20-700000),SUM(I23:I28)))</f>
        <v>1190000</v>
      </c>
      <c r="J30" s="96">
        <f>IF(J20&lt;=1200000,SUM(J23:J29),IF(SUM(J23:J29)&gt;(J20-1200000),(J20-1200000),SUM(J23:J29)))</f>
        <v>1080000</v>
      </c>
      <c r="M30" s="2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3:39" x14ac:dyDescent="0.35">
      <c r="D31" s="40" t="s">
        <v>32</v>
      </c>
      <c r="E31" s="30">
        <f>IF(E20&lt;=500000,E30,0)</f>
        <v>0</v>
      </c>
      <c r="F31" s="14">
        <v>0</v>
      </c>
      <c r="G31" s="40" t="s">
        <v>32</v>
      </c>
      <c r="H31" s="14">
        <f>IF(H20&lt;=700000,H30,0)</f>
        <v>0</v>
      </c>
      <c r="I31" s="14">
        <f>IF(I20&lt;=700000,I30,0)</f>
        <v>0</v>
      </c>
      <c r="J31" s="14">
        <f>IF(J20&lt;=700000,J30,0)</f>
        <v>0</v>
      </c>
      <c r="M31" s="2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3:39" x14ac:dyDescent="0.35">
      <c r="D32" s="34" t="s">
        <v>37</v>
      </c>
      <c r="E32" s="30">
        <f>IF(E20&lt;=5000000,E30*0,IF(E20&lt;=10000000,E30*0.1,IF(E20&lt;=20000000,E30*0.15,IF(E20&lt;=50000000,E30*0.25,E30*0.37))))</f>
        <v>0</v>
      </c>
      <c r="F32" s="30">
        <f>IF(F20&lt;=5000000,F30*0,IF(F20&lt;=10000000,F30*0.1,IF(F20&lt;=20000000,F30*0.15,IF(F20&lt;=50000000,F30*0.25,F30*0.37))))</f>
        <v>0</v>
      </c>
      <c r="G32" s="43"/>
      <c r="H32" s="30">
        <f>IF(H20&lt;=5000000,H30*0,IF(H20&lt;=10000000,H30*0.1,IF(H20&lt;=20000000,H30*0.15,IF(H20&lt;=50000000,H30*0.25,H30*0.25))))</f>
        <v>0</v>
      </c>
      <c r="I32" s="30">
        <f>IF(I20&lt;=5000000,I30*0,IF(I20&lt;=10000000,I30*0.1,IF(I20&lt;=20000000,I30*0.15,IF(I20&lt;=50000000,I30*0.25,I30*0.25))))</f>
        <v>0</v>
      </c>
      <c r="J32" s="30">
        <f>IF(J20&lt;=5000000,J30*0,IF(J20&lt;=10000000,J30*0.1,IF(J20&lt;=20000000,J30*0.15,IF(J20&lt;=50000000,J30*0.25,J30*0.25))))</f>
        <v>0</v>
      </c>
      <c r="M32" s="2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35">
      <c r="D33" s="34" t="s">
        <v>44</v>
      </c>
      <c r="E33" s="30">
        <f>E30+E32</f>
        <v>1312500</v>
      </c>
      <c r="F33" s="30">
        <f>F30+F32</f>
        <v>1237500</v>
      </c>
      <c r="G33" s="43"/>
      <c r="H33" s="30">
        <f>H30+H32</f>
        <v>1200000</v>
      </c>
      <c r="I33" s="30">
        <f>I30+I32</f>
        <v>1190000</v>
      </c>
      <c r="J33" s="30">
        <f>J30+J32</f>
        <v>1080000</v>
      </c>
      <c r="M33" s="2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5">
      <c r="D34" s="34" t="s">
        <v>35</v>
      </c>
      <c r="E34" s="30">
        <f>(E33-E31)*4%</f>
        <v>52500</v>
      </c>
      <c r="F34" s="30">
        <f>(F33-F31)*4%</f>
        <v>49500</v>
      </c>
      <c r="G34" s="42"/>
      <c r="H34" s="30">
        <f>(H33-H31)*4%</f>
        <v>48000</v>
      </c>
      <c r="I34" s="30">
        <f>(I33-I31)*4%</f>
        <v>47600</v>
      </c>
      <c r="J34" s="30">
        <f>(J33-J31)*4%</f>
        <v>43200</v>
      </c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35">
      <c r="D35" s="39" t="s">
        <v>31</v>
      </c>
      <c r="E35" s="30">
        <f>E30-E31+E34+E32</f>
        <v>1365000</v>
      </c>
      <c r="F35" s="30">
        <f>F30-F31+F34</f>
        <v>1287000</v>
      </c>
      <c r="G35" s="40" t="s">
        <v>31</v>
      </c>
      <c r="H35" s="30">
        <f>H30-H31+H34</f>
        <v>1248000</v>
      </c>
      <c r="I35" s="30">
        <f>I30-I31+I34</f>
        <v>1237600</v>
      </c>
      <c r="J35" s="30">
        <f>J30-J31+J34</f>
        <v>1123200</v>
      </c>
      <c r="M35" s="2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35">
      <c r="M36" s="2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35"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35"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35"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35">
      <c r="M40" s="2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35">
      <c r="M41" s="2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35">
      <c r="M42" s="2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35">
      <c r="M43" s="2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35"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35"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35"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35"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35">
      <c r="B48" s="1"/>
      <c r="C48" s="23" t="s">
        <v>7</v>
      </c>
      <c r="D48" s="23" t="s">
        <v>26</v>
      </c>
      <c r="G48" s="23" t="s">
        <v>27</v>
      </c>
      <c r="H48" t="s">
        <v>25</v>
      </c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35">
      <c r="B49" s="6" t="s">
        <v>8</v>
      </c>
      <c r="C49" s="7">
        <f>MIN(E$20,250000)</f>
        <v>250000</v>
      </c>
      <c r="D49" s="8">
        <f>MIN(F$20,250000)</f>
        <v>250000</v>
      </c>
      <c r="F49" s="6" t="s">
        <v>20</v>
      </c>
      <c r="G49" s="2">
        <f>MIN($H$20,300000)</f>
        <v>300000</v>
      </c>
      <c r="H49" s="5">
        <v>0</v>
      </c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35">
      <c r="B50" s="9" t="s">
        <v>9</v>
      </c>
      <c r="C50" s="3">
        <f>MAX(MIN(E$20-C49,250000),0)</f>
        <v>250000</v>
      </c>
      <c r="D50" s="10">
        <f>MAX(MIN(F$20-D49,250000),0)</f>
        <v>250000</v>
      </c>
      <c r="F50" s="9" t="s">
        <v>21</v>
      </c>
      <c r="G50" s="2">
        <f>MAX(MIN(H$20-$G$49,300000),0)</f>
        <v>300000</v>
      </c>
      <c r="H50" s="5">
        <v>0.05</v>
      </c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5">
      <c r="B51" s="9" t="s">
        <v>10</v>
      </c>
      <c r="C51" s="3">
        <f>MAX(MIN(E$20-C$50-C$49,250000),0)</f>
        <v>250000</v>
      </c>
      <c r="D51" s="10">
        <f>MAX(MIN(F$20-D$50-D$49,250000),0)</f>
        <v>250000</v>
      </c>
      <c r="F51" s="9" t="s">
        <v>22</v>
      </c>
      <c r="G51" s="2">
        <f>MAX(MIN(H$20-$G$50-$G$49,300000),0)</f>
        <v>300000</v>
      </c>
      <c r="H51" s="5">
        <v>0.1</v>
      </c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35">
      <c r="B52" s="9" t="s">
        <v>11</v>
      </c>
      <c r="C52" s="3">
        <f>MAX(MIN(E$20-C$50-C$51-C$49,250000),0)</f>
        <v>250000</v>
      </c>
      <c r="D52" s="10">
        <f>MAX(MIN(F$20-D$50-D$51-D$49,250000),0)</f>
        <v>250000</v>
      </c>
      <c r="F52" s="27" t="s">
        <v>23</v>
      </c>
      <c r="G52" s="2">
        <f>MAX(MIN(H$20-$G$49-$G$50-$G$51,300000),0)</f>
        <v>300000</v>
      </c>
      <c r="H52" s="5">
        <v>0.15</v>
      </c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35">
      <c r="B53" s="9" t="s">
        <v>12</v>
      </c>
      <c r="C53" s="3">
        <f>MAX(MIN(E$20-C$50-C$51-C$52-C$49,250000),0)</f>
        <v>250000</v>
      </c>
      <c r="D53" s="10">
        <f>MAX(MIN(F$20-D$50-D$51-D$52-D$49,250000),0)</f>
        <v>250000</v>
      </c>
      <c r="F53" s="9" t="s">
        <v>24</v>
      </c>
      <c r="G53" s="2">
        <f>MAX(MIN(H$20-$G$49-$G$50-$G$51-$G$52,300000),0)</f>
        <v>300000</v>
      </c>
      <c r="H53" s="5">
        <v>0.2</v>
      </c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35">
      <c r="B54" s="9" t="s">
        <v>13</v>
      </c>
      <c r="C54" s="3">
        <f>MAX(MIN(E$20-C$50-C$51-C$52-C$49-C$53,250000),0)</f>
        <v>250000</v>
      </c>
      <c r="D54" s="10">
        <f>MAX(MIN(F$20-D$50-D$51-D$52-D$49-D$53,250000),0)</f>
        <v>250000</v>
      </c>
      <c r="F54" s="9" t="s">
        <v>14</v>
      </c>
      <c r="G54" s="2">
        <f>MAX(MIN(H$20-$G$49-$G$50-$G$51-$G$52-$G$53,F$20),0)</f>
        <v>3500000</v>
      </c>
      <c r="H54" s="5">
        <v>0.3</v>
      </c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35">
      <c r="B55" s="9" t="s">
        <v>14</v>
      </c>
      <c r="C55" s="3">
        <f>MAX(MIN(E$20-C$50-C$51-C$52-C$49-C$53-C$54,E$20),0)</f>
        <v>3500000</v>
      </c>
      <c r="D55" s="10">
        <f>MAX(MIN(F$20-D$50-D$51-D$52-D$49-D$53-D$54,F$20),0)</f>
        <v>3500000</v>
      </c>
      <c r="F55" s="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35">
      <c r="B56" s="11" t="s">
        <v>15</v>
      </c>
      <c r="C56" s="12">
        <f>SUM(C49:C55)</f>
        <v>5000000</v>
      </c>
      <c r="D56" s="13">
        <f>SUM(D49:D55)</f>
        <v>5000000</v>
      </c>
      <c r="F56" s="11"/>
      <c r="G56" s="3"/>
      <c r="H56" s="3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35"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35">
      <c r="C58" t="s">
        <v>17</v>
      </c>
      <c r="D58" s="23" t="s">
        <v>26</v>
      </c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35">
      <c r="C59" s="5">
        <v>0</v>
      </c>
      <c r="D59" s="5">
        <v>0</v>
      </c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35">
      <c r="C60" s="5">
        <v>0.05</v>
      </c>
      <c r="D60" s="5">
        <v>0.05</v>
      </c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35">
      <c r="C61" s="5">
        <v>0.2</v>
      </c>
      <c r="D61" s="5">
        <v>0.1</v>
      </c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35">
      <c r="C62" s="5">
        <v>0.2</v>
      </c>
      <c r="D62" s="5">
        <v>0.15</v>
      </c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35">
      <c r="C63" s="5">
        <v>0.3</v>
      </c>
      <c r="D63" s="5">
        <v>0.2</v>
      </c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35">
      <c r="C64" s="5">
        <v>0.3</v>
      </c>
      <c r="D64" s="5">
        <v>0.25</v>
      </c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5">
      <c r="C65" s="5">
        <v>0.3</v>
      </c>
      <c r="D65" s="5">
        <v>0.3</v>
      </c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5"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35"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35"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5"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5"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5"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5">
      <c r="A72" s="46"/>
      <c r="B72" s="46"/>
      <c r="C72" s="46"/>
      <c r="D72" s="46"/>
      <c r="E72" s="46"/>
      <c r="F72" s="46"/>
      <c r="G72" s="46"/>
      <c r="H72" s="46"/>
      <c r="I72" s="51" t="s">
        <v>51</v>
      </c>
      <c r="J72" s="46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35">
      <c r="A73">
        <v>0</v>
      </c>
      <c r="B73">
        <v>300000</v>
      </c>
      <c r="C73" s="46">
        <f>B73-A73</f>
        <v>300000</v>
      </c>
      <c r="D73" s="48">
        <f>MIN(I$20,C73)</f>
        <v>300000</v>
      </c>
      <c r="E73" s="46"/>
      <c r="F73" s="46"/>
      <c r="G73" s="46"/>
      <c r="H73" s="46"/>
      <c r="I73" s="83">
        <v>0</v>
      </c>
      <c r="J73" s="46">
        <f t="shared" ref="J73:J78" si="4">D73*I73</f>
        <v>0</v>
      </c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35">
      <c r="A74">
        <v>300000</v>
      </c>
      <c r="B74">
        <v>700000</v>
      </c>
      <c r="C74" s="46">
        <f t="shared" ref="C74:C78" si="5">B74-A74</f>
        <v>400000</v>
      </c>
      <c r="D74" s="48">
        <f>MAX(MIN(I$20-D73,C74),0)</f>
        <v>400000</v>
      </c>
      <c r="E74" s="46"/>
      <c r="F74" s="46"/>
      <c r="G74" s="46"/>
      <c r="H74" s="46"/>
      <c r="I74" s="83">
        <v>0.05</v>
      </c>
      <c r="J74" s="46">
        <f t="shared" si="4"/>
        <v>20000</v>
      </c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5">
      <c r="A75">
        <v>700000</v>
      </c>
      <c r="B75">
        <v>1000000</v>
      </c>
      <c r="C75" s="46">
        <f t="shared" si="5"/>
        <v>300000</v>
      </c>
      <c r="D75" s="48">
        <f>MAX(MIN(I$20-D73-D74,C75),0)</f>
        <v>300000</v>
      </c>
      <c r="E75" s="46"/>
      <c r="F75" s="46"/>
      <c r="G75" s="46"/>
      <c r="H75" s="46"/>
      <c r="I75" s="83">
        <v>0.1</v>
      </c>
      <c r="J75" s="46">
        <f t="shared" si="4"/>
        <v>30000</v>
      </c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5">
      <c r="A76">
        <v>1000000</v>
      </c>
      <c r="B76">
        <v>1200000</v>
      </c>
      <c r="C76" s="46">
        <f t="shared" si="5"/>
        <v>200000</v>
      </c>
      <c r="D76" s="48">
        <f>MAX(MIN(I$20-D73-D74-D75,C76),0)</f>
        <v>200000</v>
      </c>
      <c r="E76" s="46"/>
      <c r="F76" s="46"/>
      <c r="G76" s="46"/>
      <c r="H76" s="46"/>
      <c r="I76" s="83">
        <v>0.15</v>
      </c>
      <c r="J76" s="46">
        <f t="shared" si="4"/>
        <v>30000</v>
      </c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5">
      <c r="A77">
        <v>1200000</v>
      </c>
      <c r="B77">
        <v>1500000</v>
      </c>
      <c r="C77" s="46">
        <f t="shared" si="5"/>
        <v>300000</v>
      </c>
      <c r="D77" s="48">
        <f>MAX(MIN(I$20-D73-D74-D75-D76,C77),0)</f>
        <v>300000</v>
      </c>
      <c r="E77" s="46"/>
      <c r="F77" s="46"/>
      <c r="G77" s="46"/>
      <c r="H77" s="46"/>
      <c r="I77" s="83">
        <v>0.2</v>
      </c>
      <c r="J77" s="46">
        <f t="shared" si="4"/>
        <v>60000</v>
      </c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35">
      <c r="A78">
        <v>1500000</v>
      </c>
      <c r="B78" s="2">
        <f>I20</f>
        <v>5000000</v>
      </c>
      <c r="C78" s="46">
        <f t="shared" si="5"/>
        <v>3500000</v>
      </c>
      <c r="D78" s="48">
        <f>MAX(MIN(I$20-D73-D74-D75-D76-D77,C78),0)</f>
        <v>3500000</v>
      </c>
      <c r="E78" s="46"/>
      <c r="F78" s="46"/>
      <c r="G78" s="46"/>
      <c r="H78" s="46"/>
      <c r="I78" s="83">
        <v>0.3</v>
      </c>
      <c r="J78" s="46">
        <f t="shared" si="4"/>
        <v>1050000</v>
      </c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35">
      <c r="A79" s="46"/>
      <c r="B79" s="46"/>
      <c r="C79" s="46"/>
      <c r="D79" s="48"/>
      <c r="E79" s="46"/>
      <c r="F79" s="46"/>
      <c r="G79" s="46"/>
      <c r="H79" s="46"/>
      <c r="I79" s="53" t="s">
        <v>15</v>
      </c>
      <c r="J79" s="53">
        <f>SUM(J72:J78)</f>
        <v>1190000</v>
      </c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35"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5"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35">
      <c r="A82" s="46"/>
      <c r="B82" s="46"/>
      <c r="C82" s="46"/>
      <c r="D82" s="46"/>
      <c r="E82" s="46"/>
      <c r="F82" s="46"/>
      <c r="G82" s="46"/>
      <c r="H82" s="46"/>
      <c r="I82" s="51" t="s">
        <v>56</v>
      </c>
      <c r="J82" s="46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35">
      <c r="A83" s="46">
        <v>0</v>
      </c>
      <c r="B83" s="46">
        <v>400000</v>
      </c>
      <c r="C83" s="46">
        <f>B83-A83</f>
        <v>400000</v>
      </c>
      <c r="D83" s="48">
        <f>MIN(J$20,C83)</f>
        <v>400000</v>
      </c>
      <c r="E83" s="46"/>
      <c r="F83" s="46"/>
      <c r="G83" s="46"/>
      <c r="H83" s="46"/>
      <c r="I83" s="83">
        <v>0</v>
      </c>
      <c r="J83" s="46">
        <f t="shared" ref="J83:J89" si="6">D83*I83</f>
        <v>0</v>
      </c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35">
      <c r="A84" s="46">
        <v>400000</v>
      </c>
      <c r="B84" s="46">
        <v>800000</v>
      </c>
      <c r="C84" s="46">
        <f t="shared" ref="C84:C89" si="7">B84-A84</f>
        <v>400000</v>
      </c>
      <c r="D84" s="48">
        <f>MAX(MIN(J$20-D83,C84),0)</f>
        <v>400000</v>
      </c>
      <c r="E84" s="46"/>
      <c r="F84" s="46"/>
      <c r="G84" s="46"/>
      <c r="H84" s="46"/>
      <c r="I84" s="83">
        <v>0.05</v>
      </c>
      <c r="J84" s="46">
        <f t="shared" si="6"/>
        <v>20000</v>
      </c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5">
      <c r="A85" s="46">
        <v>800000</v>
      </c>
      <c r="B85" s="46">
        <v>1200000</v>
      </c>
      <c r="C85" s="46">
        <f t="shared" si="7"/>
        <v>400000</v>
      </c>
      <c r="D85" s="48">
        <f>MAX(MIN(J$20-D83-D84,C85),0)</f>
        <v>400000</v>
      </c>
      <c r="E85" s="46"/>
      <c r="F85" s="46"/>
      <c r="G85" s="46"/>
      <c r="H85" s="46"/>
      <c r="I85" s="83">
        <v>0.1</v>
      </c>
      <c r="J85" s="46">
        <f t="shared" si="6"/>
        <v>40000</v>
      </c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35">
      <c r="A86" s="46">
        <v>1200000</v>
      </c>
      <c r="B86" s="46">
        <v>1600000</v>
      </c>
      <c r="C86" s="46">
        <f t="shared" si="7"/>
        <v>400000</v>
      </c>
      <c r="D86" s="48">
        <f>MAX(MIN(J$20-D83-D84-D85,C86),0)</f>
        <v>400000</v>
      </c>
      <c r="E86" s="46"/>
      <c r="F86" s="46"/>
      <c r="G86" s="46"/>
      <c r="H86" s="46"/>
      <c r="I86" s="83">
        <v>0.15</v>
      </c>
      <c r="J86" s="46">
        <f t="shared" si="6"/>
        <v>60000</v>
      </c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5">
      <c r="A87" s="46">
        <v>1600000</v>
      </c>
      <c r="B87" s="46">
        <v>2000000</v>
      </c>
      <c r="C87" s="46">
        <f t="shared" si="7"/>
        <v>400000</v>
      </c>
      <c r="D87" s="48">
        <f>MAX(MIN(J$20-D83-D84-D85-D86,C87),0)</f>
        <v>400000</v>
      </c>
      <c r="E87" s="46"/>
      <c r="F87" s="46"/>
      <c r="G87" s="46"/>
      <c r="H87" s="46"/>
      <c r="I87" s="83">
        <v>0.2</v>
      </c>
      <c r="J87" s="46">
        <f t="shared" si="6"/>
        <v>80000</v>
      </c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5">
      <c r="A88" s="46">
        <v>2000000</v>
      </c>
      <c r="B88" s="46">
        <v>2400000</v>
      </c>
      <c r="C88" s="46">
        <f t="shared" si="7"/>
        <v>400000</v>
      </c>
      <c r="D88" s="48">
        <f>MAX(MIN(J$20-D83-D84-D85-D86-D87,C88),0)</f>
        <v>400000</v>
      </c>
      <c r="E88" s="46"/>
      <c r="F88" s="46"/>
      <c r="G88" s="46"/>
      <c r="H88" s="46"/>
      <c r="I88" s="83">
        <v>0.25</v>
      </c>
      <c r="J88" s="46">
        <f t="shared" si="6"/>
        <v>100000</v>
      </c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5">
      <c r="A89" s="46">
        <v>2400000</v>
      </c>
      <c r="B89" s="48">
        <f>J20</f>
        <v>5000000</v>
      </c>
      <c r="C89" s="46">
        <f t="shared" si="7"/>
        <v>2600000</v>
      </c>
      <c r="D89" s="48">
        <f>MAX(MIN(J$20-D84-D85-D86-D87-D88,C89),0)</f>
        <v>2600000</v>
      </c>
      <c r="E89" s="46"/>
      <c r="F89" s="46"/>
      <c r="G89" s="46"/>
      <c r="H89" s="46"/>
      <c r="I89" s="83">
        <v>0.3</v>
      </c>
      <c r="J89" s="46">
        <f t="shared" si="6"/>
        <v>780000</v>
      </c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5">
      <c r="A90" s="46"/>
      <c r="B90" s="46"/>
      <c r="C90" s="46"/>
      <c r="D90" s="46"/>
      <c r="E90" s="46"/>
      <c r="F90" s="46"/>
      <c r="G90" s="46"/>
      <c r="H90" s="46"/>
      <c r="I90" s="53" t="s">
        <v>15</v>
      </c>
      <c r="J90" s="53">
        <f>SUM(J83:J89)</f>
        <v>1080000</v>
      </c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5"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5"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5"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5"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5"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5"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3:39" x14ac:dyDescent="0.35"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3:39" x14ac:dyDescent="0.35"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3:39" x14ac:dyDescent="0.35"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3:39" x14ac:dyDescent="0.35"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3:39" x14ac:dyDescent="0.35"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3:39" x14ac:dyDescent="0.35"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3:39" x14ac:dyDescent="0.35"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3:39" x14ac:dyDescent="0.35"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3:39" x14ac:dyDescent="0.35"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3:39" x14ac:dyDescent="0.35"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3:39" x14ac:dyDescent="0.35"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3:39" x14ac:dyDescent="0.35"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3:39" x14ac:dyDescent="0.35"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3:39" x14ac:dyDescent="0.35"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3:39" x14ac:dyDescent="0.35"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3:39" x14ac:dyDescent="0.35"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3:39" x14ac:dyDescent="0.35"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3:39" x14ac:dyDescent="0.35"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3:39" x14ac:dyDescent="0.35"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3:39" x14ac:dyDescent="0.35"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20" spans="13:39" x14ac:dyDescent="0.35">
      <c r="M120" s="28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13:39" x14ac:dyDescent="0.35">
      <c r="M121" s="29"/>
    </row>
    <row r="122" spans="13:39" x14ac:dyDescent="0.35">
      <c r="M122" s="29"/>
    </row>
    <row r="123" spans="13:39" x14ac:dyDescent="0.35">
      <c r="M123" s="29"/>
    </row>
    <row r="124" spans="13:39" x14ac:dyDescent="0.35">
      <c r="M124" s="29"/>
    </row>
    <row r="125" spans="13:39" x14ac:dyDescent="0.35">
      <c r="M125" s="29"/>
    </row>
    <row r="126" spans="13:39" x14ac:dyDescent="0.35">
      <c r="M126" s="29"/>
    </row>
    <row r="127" spans="13:39" x14ac:dyDescent="0.35">
      <c r="M127" s="29"/>
    </row>
    <row r="128" spans="13:39" x14ac:dyDescent="0.35">
      <c r="M128" s="29"/>
    </row>
    <row r="129" spans="13:13" x14ac:dyDescent="0.35">
      <c r="M129" s="29"/>
    </row>
    <row r="130" spans="13:13" x14ac:dyDescent="0.35">
      <c r="M130" s="29"/>
    </row>
    <row r="131" spans="13:13" x14ac:dyDescent="0.35">
      <c r="M131" s="29"/>
    </row>
    <row r="132" spans="13:13" x14ac:dyDescent="0.35">
      <c r="M132" s="29"/>
    </row>
    <row r="133" spans="13:13" x14ac:dyDescent="0.35">
      <c r="M133" s="29"/>
    </row>
    <row r="134" spans="13:13" x14ac:dyDescent="0.35">
      <c r="M134" s="29"/>
    </row>
    <row r="135" spans="13:13" x14ac:dyDescent="0.35">
      <c r="M135" s="29"/>
    </row>
    <row r="136" spans="13:13" x14ac:dyDescent="0.35">
      <c r="M136" s="29"/>
    </row>
    <row r="137" spans="13:13" x14ac:dyDescent="0.35">
      <c r="M137" s="29"/>
    </row>
    <row r="138" spans="13:13" x14ac:dyDescent="0.35">
      <c r="M138" s="29"/>
    </row>
    <row r="139" spans="13:13" x14ac:dyDescent="0.35">
      <c r="M139" s="29"/>
    </row>
    <row r="140" spans="13:13" x14ac:dyDescent="0.35">
      <c r="M140" s="29"/>
    </row>
    <row r="141" spans="13:13" x14ac:dyDescent="0.35">
      <c r="M141" s="29"/>
    </row>
    <row r="142" spans="13:13" x14ac:dyDescent="0.35">
      <c r="M142" s="29"/>
    </row>
    <row r="143" spans="13:13" x14ac:dyDescent="0.35">
      <c r="M143" s="29"/>
    </row>
    <row r="144" spans="13:13" x14ac:dyDescent="0.35">
      <c r="M144" s="29"/>
    </row>
    <row r="145" spans="13:13" x14ac:dyDescent="0.35">
      <c r="M145" s="29"/>
    </row>
    <row r="146" spans="13:13" x14ac:dyDescent="0.35">
      <c r="M146" s="29"/>
    </row>
    <row r="147" spans="13:13" x14ac:dyDescent="0.35">
      <c r="M147" s="29"/>
    </row>
    <row r="148" spans="13:13" x14ac:dyDescent="0.35">
      <c r="M148" s="29"/>
    </row>
    <row r="149" spans="13:13" x14ac:dyDescent="0.35">
      <c r="M149" s="29"/>
    </row>
    <row r="150" spans="13:13" x14ac:dyDescent="0.35">
      <c r="M150" s="29"/>
    </row>
    <row r="151" spans="13:13" x14ac:dyDescent="0.35">
      <c r="M151" s="29"/>
    </row>
    <row r="152" spans="13:13" x14ac:dyDescent="0.35">
      <c r="M152" s="29"/>
    </row>
    <row r="153" spans="13:13" x14ac:dyDescent="0.35">
      <c r="M153" s="29"/>
    </row>
    <row r="154" spans="13:13" x14ac:dyDescent="0.35">
      <c r="M154" s="29"/>
    </row>
    <row r="155" spans="13:13" x14ac:dyDescent="0.35">
      <c r="M155" s="29"/>
    </row>
    <row r="156" spans="13:13" x14ac:dyDescent="0.35">
      <c r="M156" s="29"/>
    </row>
    <row r="157" spans="13:13" x14ac:dyDescent="0.35">
      <c r="M157" s="29"/>
    </row>
    <row r="158" spans="13:13" x14ac:dyDescent="0.35">
      <c r="M158" s="29"/>
    </row>
    <row r="159" spans="13:13" x14ac:dyDescent="0.35">
      <c r="M159" s="29"/>
    </row>
    <row r="160" spans="13:13" x14ac:dyDescent="0.35">
      <c r="M160" s="29"/>
    </row>
    <row r="161" spans="13:13" x14ac:dyDescent="0.35">
      <c r="M161" s="29"/>
    </row>
    <row r="162" spans="13:13" x14ac:dyDescent="0.35">
      <c r="M162" s="29"/>
    </row>
    <row r="163" spans="13:13" x14ac:dyDescent="0.35">
      <c r="M163" s="29"/>
    </row>
    <row r="164" spans="13:13" x14ac:dyDescent="0.35">
      <c r="M164" s="29"/>
    </row>
    <row r="165" spans="13:13" x14ac:dyDescent="0.35">
      <c r="M165" s="29"/>
    </row>
    <row r="166" spans="13:13" x14ac:dyDescent="0.35">
      <c r="M166" s="29"/>
    </row>
    <row r="167" spans="13:13" x14ac:dyDescent="0.35">
      <c r="M167" s="29"/>
    </row>
    <row r="168" spans="13:13" x14ac:dyDescent="0.35">
      <c r="M168" s="29"/>
    </row>
    <row r="169" spans="13:13" x14ac:dyDescent="0.35">
      <c r="M169" s="29"/>
    </row>
    <row r="170" spans="13:13" x14ac:dyDescent="0.35">
      <c r="M170" s="29"/>
    </row>
    <row r="171" spans="13:13" x14ac:dyDescent="0.35">
      <c r="M171" s="29"/>
    </row>
    <row r="172" spans="13:13" x14ac:dyDescent="0.35">
      <c r="M172" s="29"/>
    </row>
    <row r="173" spans="13:13" x14ac:dyDescent="0.35">
      <c r="M173" s="29"/>
    </row>
    <row r="174" spans="13:13" x14ac:dyDescent="0.35">
      <c r="M174" s="29"/>
    </row>
    <row r="175" spans="13:13" x14ac:dyDescent="0.35">
      <c r="M175" s="29"/>
    </row>
    <row r="176" spans="13:13" x14ac:dyDescent="0.35">
      <c r="M176" s="29"/>
    </row>
    <row r="177" spans="13:13" x14ac:dyDescent="0.35">
      <c r="M177" s="29"/>
    </row>
    <row r="178" spans="13:13" x14ac:dyDescent="0.35">
      <c r="M178" s="29"/>
    </row>
    <row r="179" spans="13:13" x14ac:dyDescent="0.35">
      <c r="M179" s="29"/>
    </row>
    <row r="180" spans="13:13" x14ac:dyDescent="0.35">
      <c r="M180" s="29"/>
    </row>
    <row r="181" spans="13:13" x14ac:dyDescent="0.35">
      <c r="M181" s="29"/>
    </row>
    <row r="182" spans="13:13" x14ac:dyDescent="0.35">
      <c r="M182" s="29"/>
    </row>
    <row r="183" spans="13:13" x14ac:dyDescent="0.35">
      <c r="M183" s="29"/>
    </row>
    <row r="184" spans="13:13" x14ac:dyDescent="0.35">
      <c r="M184" s="29"/>
    </row>
    <row r="185" spans="13:13" x14ac:dyDescent="0.35">
      <c r="M185" s="29"/>
    </row>
    <row r="186" spans="13:13" x14ac:dyDescent="0.35">
      <c r="M186" s="29"/>
    </row>
    <row r="187" spans="13:13" x14ac:dyDescent="0.35">
      <c r="M187" s="29"/>
    </row>
    <row r="188" spans="13:13" x14ac:dyDescent="0.35">
      <c r="M188" s="29"/>
    </row>
    <row r="189" spans="13:13" x14ac:dyDescent="0.35">
      <c r="M189" s="29"/>
    </row>
    <row r="190" spans="13:13" x14ac:dyDescent="0.35">
      <c r="M190" s="29"/>
    </row>
    <row r="191" spans="13:13" x14ac:dyDescent="0.35">
      <c r="M191" s="29"/>
    </row>
    <row r="192" spans="13:13" x14ac:dyDescent="0.35">
      <c r="M192" s="29"/>
    </row>
    <row r="193" spans="13:13" x14ac:dyDescent="0.35">
      <c r="M193" s="29"/>
    </row>
    <row r="194" spans="13:13" x14ac:dyDescent="0.35">
      <c r="M194" s="29"/>
    </row>
    <row r="195" spans="13:13" x14ac:dyDescent="0.35">
      <c r="M195" s="29"/>
    </row>
    <row r="196" spans="13:13" x14ac:dyDescent="0.35">
      <c r="M196" s="29"/>
    </row>
    <row r="197" spans="13:13" x14ac:dyDescent="0.35">
      <c r="M197" s="29"/>
    </row>
    <row r="198" spans="13:13" x14ac:dyDescent="0.35">
      <c r="M198" s="29"/>
    </row>
    <row r="199" spans="13:13" x14ac:dyDescent="0.35">
      <c r="M199" s="29"/>
    </row>
    <row r="200" spans="13:13" x14ac:dyDescent="0.35">
      <c r="M200" s="29"/>
    </row>
    <row r="201" spans="13:13" x14ac:dyDescent="0.35">
      <c r="M201" s="29"/>
    </row>
    <row r="202" spans="13:13" x14ac:dyDescent="0.35">
      <c r="M202" s="29"/>
    </row>
    <row r="203" spans="13:13" x14ac:dyDescent="0.35">
      <c r="M203" s="29"/>
    </row>
    <row r="204" spans="13:13" x14ac:dyDescent="0.35">
      <c r="M204" s="29"/>
    </row>
    <row r="205" spans="13:13" x14ac:dyDescent="0.35">
      <c r="M205" s="29"/>
    </row>
    <row r="206" spans="13:13" x14ac:dyDescent="0.35">
      <c r="M206" s="29"/>
    </row>
    <row r="207" spans="13:13" x14ac:dyDescent="0.35">
      <c r="M207" s="29"/>
    </row>
    <row r="208" spans="13:13" x14ac:dyDescent="0.35">
      <c r="M208" s="29"/>
    </row>
    <row r="209" spans="13:13" x14ac:dyDescent="0.35">
      <c r="M209" s="29"/>
    </row>
    <row r="210" spans="13:13" x14ac:dyDescent="0.35">
      <c r="M210" s="29"/>
    </row>
    <row r="211" spans="13:13" x14ac:dyDescent="0.35">
      <c r="M211" s="29"/>
    </row>
    <row r="212" spans="13:13" x14ac:dyDescent="0.35">
      <c r="M212" s="29"/>
    </row>
    <row r="213" spans="13:13" x14ac:dyDescent="0.35">
      <c r="M213" s="29"/>
    </row>
    <row r="214" spans="13:13" x14ac:dyDescent="0.35">
      <c r="M214" s="29"/>
    </row>
    <row r="215" spans="13:13" x14ac:dyDescent="0.35">
      <c r="M215" s="29"/>
    </row>
    <row r="216" spans="13:13" x14ac:dyDescent="0.35">
      <c r="M216" s="29"/>
    </row>
    <row r="217" spans="13:13" x14ac:dyDescent="0.35">
      <c r="M217" s="29"/>
    </row>
    <row r="218" spans="13:13" x14ac:dyDescent="0.35">
      <c r="M218" s="29"/>
    </row>
    <row r="219" spans="13:13" x14ac:dyDescent="0.35">
      <c r="M219" s="29"/>
    </row>
    <row r="220" spans="13:13" x14ac:dyDescent="0.35">
      <c r="M220" s="29"/>
    </row>
    <row r="221" spans="13:13" x14ac:dyDescent="0.35">
      <c r="M221" s="29"/>
    </row>
    <row r="222" spans="13:13" x14ac:dyDescent="0.35">
      <c r="M222" s="29"/>
    </row>
  </sheetData>
  <mergeCells count="1">
    <mergeCell ref="L10:L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After Budget 2025</vt:lpstr>
      <vt:lpstr>5Cr</vt:lpstr>
      <vt:lpstr>2Cr</vt:lpstr>
      <vt:lpstr>1Cr</vt:lpstr>
      <vt:lpstr>50L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Vittal</dc:creator>
  <cp:lastModifiedBy>Pattabiraman M</cp:lastModifiedBy>
  <dcterms:created xsi:type="dcterms:W3CDTF">2020-02-02T02:48:47Z</dcterms:created>
  <dcterms:modified xsi:type="dcterms:W3CDTF">2025-02-01T08:31:43Z</dcterms:modified>
</cp:coreProperties>
</file>